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CLUFS\Users$\PLA\BKPPLA\Planejamento\PO\PO 2026\Anexos Caderno PO 26\E - Arquivos em Excel - tabelas de receitas, despesas, projetos e destinação do custeio\"/>
    </mc:Choice>
  </mc:AlternateContent>
  <bookViews>
    <workbookView xWindow="0" yWindow="0" windowWidth="23040" windowHeight="10332" tabRatio="934"/>
  </bookViews>
  <sheets>
    <sheet name="10-Quadro_Colab Apresentação" sheetId="60" r:id="rId1"/>
    <sheet name="23-Despesas " sheetId="1" r:id="rId2"/>
    <sheet name="30-ADM_CENTRAL" sheetId="8" r:id="rId3"/>
    <sheet name="31-ADM_ÉTICA " sheetId="10" r:id="rId4"/>
    <sheet name="32-ADM_MED" sheetId="11" r:id="rId5"/>
    <sheet name="33-ADM_RHU" sheetId="12" r:id="rId6"/>
    <sheet name="34-ADM_SEG" sheetId="13" r:id="rId7"/>
    <sheet name="36-COD" sheetId="14" r:id="rId8"/>
    <sheet name="37-COF" sheetId="16" r:id="rId9"/>
    <sheet name="39-CUL" sheetId="18" r:id="rId10"/>
    <sheet name="41-EOF_IND " sheetId="21" r:id="rId11"/>
    <sheet name="42-EOF_AQU" sheetId="20" r:id="rId12"/>
    <sheet name="44 e 45-EAS" sheetId="24" r:id="rId13"/>
    <sheet name="47-EOF_ADM_OLIM" sheetId="26" r:id="rId14"/>
    <sheet name="48-EOF_COL" sheetId="27" r:id="rId15"/>
    <sheet name="50-ESR_RAQ" sheetId="29" r:id="rId16"/>
    <sheet name="55-FIN_FIN" sheetId="31" r:id="rId17"/>
    <sheet name="56-FIN_SUP" sheetId="32" r:id="rId18"/>
    <sheet name="58-JUR" sheetId="35" r:id="rId19"/>
    <sheet name="61-MKT" sheetId="37" r:id="rId20"/>
    <sheet name="62-COMUNI" sheetId="38" r:id="rId21"/>
    <sheet name="64-SERV GERAIS" sheetId="40" r:id="rId22"/>
    <sheet name="66-PAT" sheetId="42" r:id="rId23"/>
    <sheet name="68-PLA" sheetId="43" r:id="rId24"/>
    <sheet name="69-TEC" sheetId="45" r:id="rId25"/>
    <sheet name="71-PRE_CME" sheetId="47" r:id="rId26"/>
    <sheet name="72-PRE_DAS" sheetId="48" r:id="rId27"/>
    <sheet name="73-PRE_GOV" sheetId="49" r:id="rId28"/>
    <sheet name="74-PRE_PRE" sheetId="50" r:id="rId29"/>
    <sheet name="76 e 77-ESR_ADM" sheetId="51" r:id="rId30"/>
    <sheet name="79-REL INST" sheetId="54" r:id="rId31"/>
    <sheet name="81 e 82-SOC" sheetId="55" r:id="rId32"/>
    <sheet name="83-SOC_VET" sheetId="57" r:id="rId33"/>
    <sheet name="84-CTG" sheetId="59" r:id="rId3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55" l="1"/>
  <c r="C42" i="51"/>
  <c r="C37" i="13"/>
  <c r="C31" i="18"/>
  <c r="C26" i="18"/>
  <c r="C23" i="1"/>
  <c r="D31" i="37" l="1"/>
  <c r="G41" i="60" l="1"/>
  <c r="H39" i="60"/>
  <c r="G37" i="60"/>
  <c r="F36" i="60"/>
  <c r="H36" i="60" s="1"/>
  <c r="H35" i="60"/>
  <c r="H34" i="60"/>
  <c r="D34" i="60"/>
  <c r="H33" i="60"/>
  <c r="D33" i="60"/>
  <c r="H32" i="60"/>
  <c r="D32" i="60"/>
  <c r="H31" i="60"/>
  <c r="H30" i="60"/>
  <c r="H29" i="60"/>
  <c r="H28" i="60"/>
  <c r="D28" i="60"/>
  <c r="H27" i="60"/>
  <c r="H26" i="60"/>
  <c r="D26" i="60"/>
  <c r="H25" i="60"/>
  <c r="F24" i="60"/>
  <c r="H24" i="60" s="1"/>
  <c r="H23" i="60"/>
  <c r="H22" i="60"/>
  <c r="H21" i="60"/>
  <c r="D21" i="60"/>
  <c r="H20" i="60"/>
  <c r="F19" i="60"/>
  <c r="H19" i="60" s="1"/>
  <c r="H18" i="60"/>
  <c r="H17" i="60"/>
  <c r="D17" i="60"/>
  <c r="F16" i="60"/>
  <c r="H16" i="60" s="1"/>
  <c r="D16" i="60"/>
  <c r="F15" i="60"/>
  <c r="H15" i="60" s="1"/>
  <c r="D15" i="60"/>
  <c r="F14" i="60"/>
  <c r="H14" i="60" s="1"/>
  <c r="H13" i="60"/>
  <c r="D13" i="60"/>
  <c r="H12" i="60"/>
  <c r="D12" i="60"/>
  <c r="F11" i="60"/>
  <c r="H11" i="60" s="1"/>
  <c r="D11" i="60"/>
  <c r="H10" i="60"/>
  <c r="H9" i="60"/>
  <c r="D9" i="60"/>
  <c r="F8" i="60"/>
  <c r="F37" i="60" s="1"/>
  <c r="F41" i="60" s="1"/>
  <c r="D8" i="60"/>
  <c r="H7" i="60"/>
  <c r="D7" i="60"/>
  <c r="H6" i="60"/>
  <c r="H5" i="60"/>
  <c r="D5" i="60"/>
  <c r="D37" i="60" s="1"/>
  <c r="D41" i="60" s="1"/>
  <c r="H8" i="60" l="1"/>
  <c r="H37" i="60" s="1"/>
  <c r="H41" i="60" s="1"/>
  <c r="F14" i="59"/>
  <c r="F9" i="59"/>
  <c r="F15" i="57"/>
  <c r="F10" i="57"/>
  <c r="G28" i="57"/>
  <c r="G26" i="57"/>
  <c r="E28" i="57"/>
  <c r="E26" i="57"/>
  <c r="F31" i="55"/>
  <c r="F10" i="55"/>
  <c r="G47" i="55"/>
  <c r="G46" i="55"/>
  <c r="G44" i="55"/>
  <c r="E47" i="55"/>
  <c r="E46" i="55"/>
  <c r="E44" i="55"/>
  <c r="F14" i="54"/>
  <c r="F9" i="54"/>
  <c r="G31" i="54"/>
  <c r="G27" i="54"/>
  <c r="G25" i="54"/>
  <c r="E31" i="54"/>
  <c r="E27" i="54"/>
  <c r="E25" i="54"/>
  <c r="F41" i="51"/>
  <c r="F9" i="51"/>
  <c r="G58" i="51"/>
  <c r="G56" i="51"/>
  <c r="E58" i="51"/>
  <c r="E56" i="51"/>
  <c r="F19" i="50"/>
  <c r="F12" i="50"/>
  <c r="G35" i="50"/>
  <c r="G33" i="50"/>
  <c r="E35" i="50"/>
  <c r="E33" i="50"/>
  <c r="F17" i="49"/>
  <c r="F12" i="49"/>
  <c r="G27" i="49"/>
  <c r="G25" i="49"/>
  <c r="E27" i="49"/>
  <c r="E25" i="49"/>
  <c r="F19" i="48"/>
  <c r="F12" i="48"/>
  <c r="G34" i="48"/>
  <c r="G32" i="48"/>
  <c r="E34" i="48"/>
  <c r="E32" i="48"/>
  <c r="F17" i="47"/>
  <c r="F12" i="47"/>
  <c r="G39" i="47"/>
  <c r="G33" i="47"/>
  <c r="G31" i="47"/>
  <c r="E39" i="47"/>
  <c r="E33" i="47"/>
  <c r="E31" i="47"/>
  <c r="G30" i="45"/>
  <c r="E30" i="45"/>
  <c r="F15" i="45"/>
  <c r="F10" i="45"/>
  <c r="F17" i="43"/>
  <c r="F10" i="43"/>
  <c r="G31" i="43"/>
  <c r="G29" i="43"/>
  <c r="E31" i="43"/>
  <c r="E29" i="43"/>
  <c r="F75" i="42"/>
  <c r="F9" i="42"/>
  <c r="G91" i="42"/>
  <c r="G90" i="42"/>
  <c r="G88" i="42"/>
  <c r="E91" i="42"/>
  <c r="E90" i="42"/>
  <c r="E88" i="42"/>
  <c r="F26" i="40"/>
  <c r="F9" i="40"/>
  <c r="F16" i="38"/>
  <c r="F10" i="38"/>
  <c r="G32" i="38"/>
  <c r="E32" i="38"/>
  <c r="F16" i="37"/>
  <c r="F10" i="37"/>
  <c r="G32" i="37"/>
  <c r="G30" i="37"/>
  <c r="E32" i="37"/>
  <c r="E30" i="37"/>
  <c r="F14" i="35"/>
  <c r="F9" i="35"/>
  <c r="G30" i="35"/>
  <c r="G28" i="35"/>
  <c r="E30" i="35"/>
  <c r="E28" i="35"/>
  <c r="F17" i="32"/>
  <c r="F10" i="32"/>
  <c r="G33" i="32"/>
  <c r="G32" i="32"/>
  <c r="G30" i="32"/>
  <c r="E33" i="32"/>
  <c r="E32" i="32"/>
  <c r="E30" i="32"/>
  <c r="F23" i="31"/>
  <c r="F10" i="31"/>
  <c r="G37" i="31"/>
  <c r="G35" i="31"/>
  <c r="E37" i="31"/>
  <c r="E35" i="31"/>
  <c r="G42" i="29"/>
  <c r="G41" i="29"/>
  <c r="G39" i="29"/>
  <c r="G38" i="29"/>
  <c r="E42" i="29"/>
  <c r="E41" i="29"/>
  <c r="E39" i="29"/>
  <c r="E38" i="29"/>
  <c r="F25" i="29"/>
  <c r="F9" i="29"/>
  <c r="F20" i="27"/>
  <c r="F10" i="27"/>
  <c r="G43" i="27"/>
  <c r="G37" i="27"/>
  <c r="G35" i="27"/>
  <c r="E43" i="27"/>
  <c r="E37" i="27"/>
  <c r="E35" i="27"/>
  <c r="G34" i="26"/>
  <c r="G32" i="26"/>
  <c r="E34" i="26"/>
  <c r="E32" i="26"/>
  <c r="F18" i="26"/>
  <c r="F10" i="26"/>
  <c r="F34" i="24"/>
  <c r="F9" i="24"/>
  <c r="G51" i="24"/>
  <c r="G49" i="24"/>
  <c r="E51" i="24"/>
  <c r="E49" i="24"/>
  <c r="G51" i="20"/>
  <c r="G45" i="20"/>
  <c r="G44" i="20"/>
  <c r="G42" i="20"/>
  <c r="E51" i="20"/>
  <c r="E45" i="20"/>
  <c r="E44" i="20"/>
  <c r="E42" i="20"/>
  <c r="F27" i="20"/>
  <c r="F10" i="20"/>
  <c r="F26" i="21"/>
  <c r="F10" i="21"/>
  <c r="G42" i="21"/>
  <c r="G40" i="21"/>
  <c r="E42" i="21"/>
  <c r="E40" i="21"/>
  <c r="F25" i="18"/>
  <c r="F9" i="18"/>
  <c r="G42" i="18"/>
  <c r="G41" i="18"/>
  <c r="G39" i="18"/>
  <c r="G38" i="18"/>
  <c r="E42" i="18"/>
  <c r="E41" i="18"/>
  <c r="E39" i="18"/>
  <c r="E38" i="18"/>
  <c r="F15" i="16" l="1"/>
  <c r="F10" i="16"/>
  <c r="G27" i="16"/>
  <c r="E27" i="16"/>
  <c r="F16" i="14"/>
  <c r="F10" i="14"/>
  <c r="G37" i="14"/>
  <c r="G31" i="14"/>
  <c r="G29" i="14"/>
  <c r="E37" i="14"/>
  <c r="E31" i="14"/>
  <c r="E29" i="14"/>
  <c r="F21" i="13"/>
  <c r="F13" i="13"/>
  <c r="G36" i="13"/>
  <c r="G34" i="13"/>
  <c r="E36" i="13"/>
  <c r="E34" i="13"/>
  <c r="F23" i="12"/>
  <c r="F13" i="12"/>
  <c r="G38" i="12"/>
  <c r="G36" i="12"/>
  <c r="E38" i="12"/>
  <c r="E36" i="12"/>
  <c r="F22" i="11"/>
  <c r="F13" i="11"/>
  <c r="G38" i="11"/>
  <c r="G37" i="11"/>
  <c r="G35" i="11"/>
  <c r="E38" i="11"/>
  <c r="E37" i="11"/>
  <c r="E35" i="11"/>
  <c r="F18" i="10"/>
  <c r="F13" i="10"/>
  <c r="G36" i="10"/>
  <c r="G31" i="10"/>
  <c r="E36" i="10"/>
  <c r="E31" i="10"/>
  <c r="G36" i="8" l="1"/>
  <c r="G34" i="8"/>
  <c r="E36" i="8"/>
  <c r="E34" i="8"/>
  <c r="F21" i="8"/>
  <c r="F13" i="8"/>
  <c r="B18" i="59" l="1"/>
  <c r="B19" i="57"/>
  <c r="I27" i="57"/>
  <c r="H27" i="57"/>
  <c r="I25" i="57"/>
  <c r="H25" i="57"/>
  <c r="I45" i="55"/>
  <c r="H45" i="55"/>
  <c r="I43" i="55"/>
  <c r="H43" i="55"/>
  <c r="I31" i="55"/>
  <c r="H31" i="55"/>
  <c r="I10" i="55"/>
  <c r="H10" i="55"/>
  <c r="I30" i="54"/>
  <c r="H30" i="54"/>
  <c r="I26" i="54"/>
  <c r="H26" i="54"/>
  <c r="I24" i="54"/>
  <c r="H24" i="54"/>
  <c r="I14" i="54"/>
  <c r="H14" i="54"/>
  <c r="I9" i="54"/>
  <c r="H9" i="54"/>
  <c r="I57" i="51"/>
  <c r="H57" i="51"/>
  <c r="I55" i="51"/>
  <c r="H55" i="51"/>
  <c r="B38" i="50"/>
  <c r="I34" i="50"/>
  <c r="H34" i="50"/>
  <c r="I32" i="50"/>
  <c r="H32" i="50"/>
  <c r="I26" i="49"/>
  <c r="H26" i="49"/>
  <c r="I24" i="49"/>
  <c r="H24" i="49"/>
  <c r="B25" i="48"/>
  <c r="I33" i="48"/>
  <c r="H33" i="48"/>
  <c r="I31" i="48"/>
  <c r="H31" i="48"/>
  <c r="B24" i="47"/>
  <c r="I38" i="47"/>
  <c r="H38" i="47"/>
  <c r="I32" i="47"/>
  <c r="H32" i="47"/>
  <c r="I30" i="47"/>
  <c r="H30" i="47"/>
  <c r="B28" i="45"/>
  <c r="B27" i="45"/>
  <c r="B33" i="45"/>
  <c r="I29" i="45"/>
  <c r="H29" i="45"/>
  <c r="I30" i="43"/>
  <c r="H30" i="43"/>
  <c r="I28" i="43"/>
  <c r="H28" i="43"/>
  <c r="I89" i="42"/>
  <c r="H89" i="42"/>
  <c r="I87" i="42"/>
  <c r="H87" i="42"/>
  <c r="I26" i="40"/>
  <c r="H26" i="40"/>
  <c r="I9" i="40"/>
  <c r="H9" i="40"/>
  <c r="B30" i="38"/>
  <c r="B29" i="38"/>
  <c r="B27" i="38"/>
  <c r="B23" i="38"/>
  <c r="I31" i="38"/>
  <c r="H31" i="38"/>
  <c r="I31" i="37"/>
  <c r="H31" i="37"/>
  <c r="I29" i="37"/>
  <c r="H29" i="37"/>
  <c r="I16" i="37"/>
  <c r="H16" i="37"/>
  <c r="I10" i="37"/>
  <c r="H10" i="37"/>
  <c r="B34" i="35"/>
  <c r="I29" i="35"/>
  <c r="H29" i="35"/>
  <c r="I27" i="35"/>
  <c r="H27" i="35"/>
  <c r="I31" i="32"/>
  <c r="H31" i="32"/>
  <c r="I29" i="32"/>
  <c r="H29" i="32"/>
  <c r="I36" i="31"/>
  <c r="H36" i="31"/>
  <c r="I34" i="31"/>
  <c r="H34" i="31"/>
  <c r="I23" i="31"/>
  <c r="H23" i="31"/>
  <c r="I10" i="31"/>
  <c r="H10" i="31"/>
  <c r="I40" i="29"/>
  <c r="H40" i="29"/>
  <c r="I25" i="29"/>
  <c r="H25" i="29"/>
  <c r="I9" i="29"/>
  <c r="H9" i="29"/>
  <c r="I42" i="27"/>
  <c r="H42" i="27"/>
  <c r="I36" i="27"/>
  <c r="H36" i="27"/>
  <c r="I34" i="27"/>
  <c r="H34" i="27"/>
  <c r="I33" i="26"/>
  <c r="H33" i="26"/>
  <c r="I31" i="26"/>
  <c r="H31" i="26"/>
  <c r="I50" i="24"/>
  <c r="H50" i="24"/>
  <c r="I48" i="24"/>
  <c r="H48" i="24"/>
  <c r="I50" i="20"/>
  <c r="H50" i="20"/>
  <c r="I43" i="20"/>
  <c r="H43" i="20"/>
  <c r="I41" i="20"/>
  <c r="H41" i="20"/>
  <c r="I41" i="21"/>
  <c r="H41" i="21"/>
  <c r="I39" i="21"/>
  <c r="H39" i="21"/>
  <c r="I26" i="21"/>
  <c r="H26" i="21"/>
  <c r="I10" i="21"/>
  <c r="H10" i="21"/>
  <c r="I40" i="18"/>
  <c r="H40" i="18"/>
  <c r="B24" i="16" l="1"/>
  <c r="I26" i="16"/>
  <c r="H26" i="16"/>
  <c r="B34" i="14"/>
  <c r="I36" i="14"/>
  <c r="H36" i="14"/>
  <c r="I30" i="14"/>
  <c r="H30" i="14"/>
  <c r="I28" i="14"/>
  <c r="H28" i="14"/>
  <c r="I35" i="13"/>
  <c r="H35" i="13"/>
  <c r="I33" i="13"/>
  <c r="H33" i="13"/>
  <c r="B27" i="12"/>
  <c r="I37" i="12"/>
  <c r="H37" i="12"/>
  <c r="I35" i="12"/>
  <c r="H35" i="12"/>
  <c r="I36" i="11"/>
  <c r="H36" i="11"/>
  <c r="I34" i="11"/>
  <c r="H34" i="11"/>
  <c r="B28" i="10"/>
  <c r="B39" i="8"/>
  <c r="I35" i="10"/>
  <c r="H35" i="10"/>
  <c r="I30" i="10"/>
  <c r="H30" i="10"/>
  <c r="I35" i="8"/>
  <c r="H35" i="8"/>
  <c r="I33" i="8"/>
  <c r="H33" i="8"/>
  <c r="B28" i="59" l="1"/>
  <c r="B25" i="59"/>
  <c r="B35" i="51"/>
  <c r="D21" i="8"/>
  <c r="C21" i="8"/>
  <c r="D13" i="8"/>
  <c r="C13" i="8"/>
  <c r="F4" i="8"/>
  <c r="D4" i="8"/>
  <c r="C4" i="8"/>
  <c r="D18" i="10"/>
  <c r="C18" i="10"/>
  <c r="D13" i="10"/>
  <c r="C13" i="10"/>
  <c r="B9" i="10"/>
  <c r="B8" i="10"/>
  <c r="A8" i="10" s="1"/>
  <c r="B7" i="10"/>
  <c r="A7" i="10" s="1"/>
  <c r="B6" i="10"/>
  <c r="B5" i="10"/>
  <c r="A5" i="10" s="1"/>
  <c r="F4" i="10"/>
  <c r="D4" i="10"/>
  <c r="C4" i="10"/>
  <c r="D22" i="11"/>
  <c r="C22" i="11"/>
  <c r="D13" i="11"/>
  <c r="C13" i="11"/>
  <c r="B9" i="11"/>
  <c r="B8" i="11"/>
  <c r="B7" i="11"/>
  <c r="B6" i="11"/>
  <c r="A6" i="11" s="1"/>
  <c r="B5" i="11"/>
  <c r="A5" i="11" s="1"/>
  <c r="F4" i="11"/>
  <c r="D4" i="11"/>
  <c r="C4" i="11"/>
  <c r="D23" i="12"/>
  <c r="C23" i="12"/>
  <c r="D13" i="12"/>
  <c r="C13" i="12"/>
  <c r="B9" i="12"/>
  <c r="A9" i="12" s="1"/>
  <c r="B8" i="12"/>
  <c r="A8" i="12" s="1"/>
  <c r="B7" i="12"/>
  <c r="A7" i="12" s="1"/>
  <c r="B6" i="12"/>
  <c r="B5" i="12"/>
  <c r="A5" i="12" s="1"/>
  <c r="F4" i="12"/>
  <c r="D4" i="12"/>
  <c r="C4" i="12"/>
  <c r="D21" i="13"/>
  <c r="C21" i="13"/>
  <c r="D13" i="13"/>
  <c r="C13" i="13"/>
  <c r="B9" i="13"/>
  <c r="A9" i="13" s="1"/>
  <c r="B8" i="13"/>
  <c r="A8" i="13" s="1"/>
  <c r="B7" i="13"/>
  <c r="A7" i="13" s="1"/>
  <c r="B6" i="13"/>
  <c r="A6" i="13" s="1"/>
  <c r="B5" i="13"/>
  <c r="F4" i="13"/>
  <c r="D4" i="13"/>
  <c r="C4" i="13"/>
  <c r="D16" i="14"/>
  <c r="C16" i="14"/>
  <c r="D10" i="14"/>
  <c r="C10" i="14"/>
  <c r="F4" i="14"/>
  <c r="D4" i="14"/>
  <c r="C4" i="14"/>
  <c r="D15" i="16"/>
  <c r="C15" i="16"/>
  <c r="D10" i="16"/>
  <c r="C10" i="16"/>
  <c r="B6" i="16"/>
  <c r="A6" i="16" s="1"/>
  <c r="B5" i="16"/>
  <c r="A5" i="16" s="1"/>
  <c r="F4" i="16"/>
  <c r="D4" i="16"/>
  <c r="C4" i="16"/>
  <c r="D25" i="18"/>
  <c r="C25" i="18"/>
  <c r="D9" i="18"/>
  <c r="C9" i="18"/>
  <c r="F4" i="18"/>
  <c r="D4" i="18"/>
  <c r="C4" i="18"/>
  <c r="D27" i="20"/>
  <c r="C27" i="20"/>
  <c r="D10" i="20"/>
  <c r="C10" i="20"/>
  <c r="F4" i="20"/>
  <c r="D4" i="20"/>
  <c r="C4" i="20"/>
  <c r="D26" i="21"/>
  <c r="C26" i="21"/>
  <c r="D10" i="21"/>
  <c r="C10" i="21"/>
  <c r="B5" i="21"/>
  <c r="B6" i="21"/>
  <c r="A6" i="21" s="1"/>
  <c r="F4" i="21"/>
  <c r="D4" i="21"/>
  <c r="C4" i="21"/>
  <c r="D34" i="24"/>
  <c r="C34" i="24"/>
  <c r="D9" i="24"/>
  <c r="C9" i="24"/>
  <c r="F4" i="24"/>
  <c r="D4" i="24"/>
  <c r="C4" i="24"/>
  <c r="D18" i="26"/>
  <c r="C18" i="26"/>
  <c r="D10" i="26"/>
  <c r="C10" i="26"/>
  <c r="F4" i="26"/>
  <c r="D4" i="26"/>
  <c r="C4" i="26"/>
  <c r="D20" i="27"/>
  <c r="C20" i="27"/>
  <c r="D10" i="27"/>
  <c r="C10" i="27"/>
  <c r="B6" i="27"/>
  <c r="B5" i="27"/>
  <c r="F4" i="27"/>
  <c r="D4" i="27"/>
  <c r="C4" i="27"/>
  <c r="D25" i="29"/>
  <c r="C25" i="29"/>
  <c r="D9" i="29"/>
  <c r="C9" i="29"/>
  <c r="F4" i="29"/>
  <c r="D4" i="29"/>
  <c r="C4" i="29"/>
  <c r="D23" i="31"/>
  <c r="C23" i="31"/>
  <c r="D10" i="31"/>
  <c r="C10" i="31"/>
  <c r="F4" i="31"/>
  <c r="D4" i="31"/>
  <c r="C4" i="31"/>
  <c r="D17" i="32"/>
  <c r="C17" i="32"/>
  <c r="D10" i="32"/>
  <c r="C10" i="32"/>
  <c r="B6" i="32"/>
  <c r="B5" i="32"/>
  <c r="A5" i="32" s="1"/>
  <c r="F4" i="32"/>
  <c r="D4" i="32"/>
  <c r="C4" i="32"/>
  <c r="D14" i="35"/>
  <c r="C14" i="35"/>
  <c r="D9" i="35"/>
  <c r="C9" i="35"/>
  <c r="F4" i="35"/>
  <c r="D4" i="35"/>
  <c r="C4" i="35"/>
  <c r="D16" i="37"/>
  <c r="C16" i="37"/>
  <c r="D10" i="37"/>
  <c r="C10" i="37"/>
  <c r="F4" i="37"/>
  <c r="D4" i="37"/>
  <c r="C4" i="37"/>
  <c r="D16" i="38"/>
  <c r="C16" i="38"/>
  <c r="D10" i="38"/>
  <c r="C10" i="38"/>
  <c r="F4" i="38"/>
  <c r="D4" i="38"/>
  <c r="C4" i="38"/>
  <c r="D26" i="40"/>
  <c r="C26" i="40"/>
  <c r="D9" i="40"/>
  <c r="C9" i="40"/>
  <c r="F4" i="40"/>
  <c r="D4" i="40"/>
  <c r="C4" i="40"/>
  <c r="D75" i="42"/>
  <c r="C75" i="42"/>
  <c r="D9" i="42"/>
  <c r="C9" i="42"/>
  <c r="F4" i="42"/>
  <c r="D4" i="42"/>
  <c r="C4" i="42"/>
  <c r="D17" i="43"/>
  <c r="C17" i="43"/>
  <c r="D10" i="43"/>
  <c r="C10" i="43"/>
  <c r="F4" i="43"/>
  <c r="D4" i="43"/>
  <c r="C4" i="43"/>
  <c r="D15" i="45"/>
  <c r="C15" i="45"/>
  <c r="D10" i="45"/>
  <c r="C10" i="45"/>
  <c r="B6" i="45"/>
  <c r="A6" i="45" s="1"/>
  <c r="B5" i="45"/>
  <c r="A5" i="45" s="1"/>
  <c r="F4" i="45"/>
  <c r="D4" i="45"/>
  <c r="C4" i="45"/>
  <c r="D17" i="47"/>
  <c r="C17" i="47"/>
  <c r="D12" i="47"/>
  <c r="C12" i="47"/>
  <c r="F4" i="47"/>
  <c r="D4" i="47"/>
  <c r="C4" i="47"/>
  <c r="D19" i="48"/>
  <c r="C19" i="48"/>
  <c r="D12" i="48"/>
  <c r="C12" i="48"/>
  <c r="B8" i="48"/>
  <c r="B7" i="48"/>
  <c r="B6" i="48"/>
  <c r="B5" i="48"/>
  <c r="F4" i="48"/>
  <c r="D4" i="48"/>
  <c r="C4" i="48"/>
  <c r="D17" i="49"/>
  <c r="C17" i="49"/>
  <c r="D12" i="49"/>
  <c r="C12" i="49"/>
  <c r="B8" i="49"/>
  <c r="B7" i="49"/>
  <c r="B13" i="49" s="1"/>
  <c r="B6" i="49"/>
  <c r="B5" i="49"/>
  <c r="F4" i="49"/>
  <c r="D4" i="49"/>
  <c r="C4" i="49"/>
  <c r="D19" i="50"/>
  <c r="C19" i="50"/>
  <c r="D12" i="50"/>
  <c r="C12" i="50"/>
  <c r="B8" i="50"/>
  <c r="B7" i="50"/>
  <c r="B6" i="50"/>
  <c r="B5" i="50"/>
  <c r="F4" i="50"/>
  <c r="D4" i="50"/>
  <c r="C4" i="50"/>
  <c r="D41" i="51"/>
  <c r="C41" i="51"/>
  <c r="D9" i="51"/>
  <c r="C9" i="51"/>
  <c r="F4" i="51"/>
  <c r="D4" i="51"/>
  <c r="C4" i="51"/>
  <c r="D14" i="54"/>
  <c r="C14" i="54"/>
  <c r="D9" i="54"/>
  <c r="C9" i="54"/>
  <c r="F4" i="54"/>
  <c r="D4" i="54"/>
  <c r="C4" i="54"/>
  <c r="D31" i="55"/>
  <c r="C31" i="55"/>
  <c r="D10" i="55"/>
  <c r="C10" i="55"/>
  <c r="F4" i="55"/>
  <c r="D4" i="55"/>
  <c r="C4" i="55"/>
  <c r="D15" i="57"/>
  <c r="C15" i="57"/>
  <c r="D10" i="57"/>
  <c r="C10" i="57"/>
  <c r="B6" i="57"/>
  <c r="A6" i="57" s="1"/>
  <c r="B5" i="57"/>
  <c r="A5" i="57" s="1"/>
  <c r="F4" i="57"/>
  <c r="D4" i="57"/>
  <c r="C4" i="57"/>
  <c r="D14" i="59"/>
  <c r="C14" i="59"/>
  <c r="D9" i="59"/>
  <c r="C9" i="59"/>
  <c r="F4" i="59"/>
  <c r="D4" i="59"/>
  <c r="C4" i="59"/>
  <c r="B17" i="59"/>
  <c r="B16" i="59"/>
  <c r="B39" i="13"/>
  <c r="B42" i="11"/>
  <c r="B41" i="11"/>
  <c r="B26" i="59"/>
  <c r="B21" i="59"/>
  <c r="B19" i="59"/>
  <c r="B10" i="59"/>
  <c r="B32" i="57"/>
  <c r="B31" i="57"/>
  <c r="B30" i="57"/>
  <c r="F27" i="57"/>
  <c r="D27" i="57"/>
  <c r="C27" i="57"/>
  <c r="F25" i="57"/>
  <c r="D25" i="57"/>
  <c r="C25" i="57"/>
  <c r="B24" i="57"/>
  <c r="B23" i="57"/>
  <c r="B22" i="57"/>
  <c r="B20" i="57"/>
  <c r="B17" i="57"/>
  <c r="B11" i="57"/>
  <c r="B53" i="55"/>
  <c r="B51" i="55"/>
  <c r="B50" i="55"/>
  <c r="B49" i="55"/>
  <c r="F45" i="55"/>
  <c r="D45" i="55"/>
  <c r="C45" i="55"/>
  <c r="F43" i="55"/>
  <c r="D43" i="55"/>
  <c r="C43" i="55"/>
  <c r="B42" i="55"/>
  <c r="B41" i="55"/>
  <c r="B40" i="55"/>
  <c r="B38" i="55"/>
  <c r="B37" i="55"/>
  <c r="B35" i="55"/>
  <c r="B34" i="55"/>
  <c r="B33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A6" i="55"/>
  <c r="A5" i="55"/>
  <c r="F30" i="54"/>
  <c r="D30" i="54"/>
  <c r="C30" i="54"/>
  <c r="B29" i="54"/>
  <c r="F26" i="54"/>
  <c r="D26" i="54"/>
  <c r="C26" i="54"/>
  <c r="F24" i="54"/>
  <c r="D24" i="54"/>
  <c r="C24" i="54"/>
  <c r="B23" i="54"/>
  <c r="B22" i="54"/>
  <c r="B20" i="54"/>
  <c r="B18" i="54"/>
  <c r="B17" i="54"/>
  <c r="B16" i="54"/>
  <c r="A5" i="54"/>
  <c r="B64" i="51"/>
  <c r="B62" i="51"/>
  <c r="B61" i="51"/>
  <c r="B60" i="51"/>
  <c r="F57" i="51"/>
  <c r="D57" i="51"/>
  <c r="C57" i="51"/>
  <c r="F55" i="51"/>
  <c r="D55" i="51"/>
  <c r="C55" i="51"/>
  <c r="B54" i="51"/>
  <c r="B53" i="51"/>
  <c r="B52" i="51"/>
  <c r="B50" i="51"/>
  <c r="B49" i="51"/>
  <c r="B48" i="51"/>
  <c r="B46" i="51"/>
  <c r="B45" i="51"/>
  <c r="B44" i="51"/>
  <c r="B43" i="51"/>
  <c r="B37" i="51"/>
  <c r="B36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A5" i="51"/>
  <c r="B39" i="50"/>
  <c r="B37" i="50"/>
  <c r="F34" i="50"/>
  <c r="D34" i="50"/>
  <c r="C34" i="50"/>
  <c r="F32" i="50"/>
  <c r="D32" i="50"/>
  <c r="C32" i="50"/>
  <c r="B31" i="50"/>
  <c r="B30" i="50"/>
  <c r="B29" i="50"/>
  <c r="B27" i="50"/>
  <c r="B26" i="50"/>
  <c r="B24" i="50"/>
  <c r="B23" i="50"/>
  <c r="B22" i="50"/>
  <c r="B21" i="50"/>
  <c r="B34" i="49"/>
  <c r="B33" i="49"/>
  <c r="B32" i="49"/>
  <c r="B30" i="49"/>
  <c r="B29" i="49"/>
  <c r="F26" i="49"/>
  <c r="D26" i="49"/>
  <c r="C26" i="49"/>
  <c r="F24" i="49"/>
  <c r="D24" i="49"/>
  <c r="C24" i="49"/>
  <c r="B23" i="49"/>
  <c r="B21" i="49"/>
  <c r="B20" i="49"/>
  <c r="B19" i="49"/>
  <c r="B40" i="48"/>
  <c r="B38" i="48"/>
  <c r="B37" i="48"/>
  <c r="B36" i="48"/>
  <c r="F33" i="48"/>
  <c r="D33" i="48"/>
  <c r="C33" i="48"/>
  <c r="F31" i="48"/>
  <c r="D31" i="48"/>
  <c r="C31" i="48"/>
  <c r="B30" i="48"/>
  <c r="B29" i="48"/>
  <c r="B28" i="48"/>
  <c r="B26" i="48"/>
  <c r="B23" i="48"/>
  <c r="B22" i="48"/>
  <c r="B21" i="48"/>
  <c r="B15" i="48"/>
  <c r="B14" i="48"/>
  <c r="B13" i="48"/>
  <c r="F38" i="47"/>
  <c r="D38" i="47"/>
  <c r="C38" i="47"/>
  <c r="B37" i="47"/>
  <c r="B36" i="47"/>
  <c r="B35" i="47"/>
  <c r="F32" i="47"/>
  <c r="D32" i="47"/>
  <c r="C32" i="47"/>
  <c r="F30" i="47"/>
  <c r="D30" i="47"/>
  <c r="C30" i="47"/>
  <c r="B29" i="47"/>
  <c r="B28" i="47"/>
  <c r="B27" i="47"/>
  <c r="B25" i="47"/>
  <c r="B22" i="47"/>
  <c r="B21" i="47"/>
  <c r="B20" i="47"/>
  <c r="B19" i="47"/>
  <c r="B34" i="45"/>
  <c r="B32" i="45"/>
  <c r="F29" i="45"/>
  <c r="D29" i="45"/>
  <c r="C29" i="45"/>
  <c r="B26" i="45"/>
  <c r="B25" i="45"/>
  <c r="B24" i="45"/>
  <c r="B22" i="45"/>
  <c r="B20" i="45"/>
  <c r="B19" i="45"/>
  <c r="B18" i="45"/>
  <c r="B17" i="45"/>
  <c r="B34" i="43"/>
  <c r="B33" i="43"/>
  <c r="D30" i="43"/>
  <c r="C30" i="43"/>
  <c r="D28" i="43"/>
  <c r="C28" i="43"/>
  <c r="B27" i="43"/>
  <c r="B26" i="43"/>
  <c r="B24" i="43"/>
  <c r="B22" i="43"/>
  <c r="B21" i="43"/>
  <c r="B20" i="43"/>
  <c r="B19" i="43"/>
  <c r="B13" i="43"/>
  <c r="B12" i="43"/>
  <c r="B11" i="43"/>
  <c r="A6" i="43"/>
  <c r="A5" i="43"/>
  <c r="B97" i="42"/>
  <c r="B95" i="42"/>
  <c r="B94" i="42"/>
  <c r="B93" i="42"/>
  <c r="F89" i="42"/>
  <c r="D89" i="42"/>
  <c r="C89" i="42"/>
  <c r="F87" i="42"/>
  <c r="D87" i="42"/>
  <c r="C87" i="42"/>
  <c r="B86" i="42"/>
  <c r="B85" i="42"/>
  <c r="B84" i="42"/>
  <c r="B82" i="42"/>
  <c r="B81" i="42"/>
  <c r="B79" i="42"/>
  <c r="B78" i="42"/>
  <c r="B77" i="42"/>
  <c r="A5" i="42"/>
  <c r="B48" i="40"/>
  <c r="B46" i="40"/>
  <c r="B45" i="40"/>
  <c r="B44" i="40"/>
  <c r="B37" i="40"/>
  <c r="B36" i="40"/>
  <c r="B35" i="40"/>
  <c r="B33" i="40"/>
  <c r="B31" i="40"/>
  <c r="B30" i="40"/>
  <c r="B29" i="40"/>
  <c r="B28" i="40"/>
  <c r="B22" i="40"/>
  <c r="B21" i="40"/>
  <c r="B20" i="40"/>
  <c r="B19" i="40"/>
  <c r="B18" i="40"/>
  <c r="B17" i="40"/>
  <c r="B16" i="40"/>
  <c r="B15" i="40"/>
  <c r="B14" i="40"/>
  <c r="B13" i="40"/>
  <c r="B12" i="40"/>
  <c r="B11" i="40"/>
  <c r="B10" i="40"/>
  <c r="A5" i="40"/>
  <c r="B38" i="38"/>
  <c r="B36" i="38"/>
  <c r="B35" i="38"/>
  <c r="B34" i="38"/>
  <c r="F31" i="38"/>
  <c r="D31" i="38"/>
  <c r="C31" i="38"/>
  <c r="B28" i="38"/>
  <c r="B26" i="38"/>
  <c r="B24" i="38"/>
  <c r="B21" i="38"/>
  <c r="B20" i="38"/>
  <c r="B19" i="38"/>
  <c r="B18" i="38"/>
  <c r="B12" i="38"/>
  <c r="B11" i="38"/>
  <c r="B6" i="38"/>
  <c r="B38" i="37"/>
  <c r="B36" i="37"/>
  <c r="B35" i="37"/>
  <c r="B34" i="37"/>
  <c r="F31" i="37"/>
  <c r="C31" i="37"/>
  <c r="F29" i="37"/>
  <c r="D29" i="37"/>
  <c r="C29" i="37"/>
  <c r="B28" i="37"/>
  <c r="B27" i="37"/>
  <c r="B26" i="37"/>
  <c r="B24" i="37"/>
  <c r="B23" i="37"/>
  <c r="B21" i="37"/>
  <c r="B20" i="37"/>
  <c r="B19" i="37"/>
  <c r="B18" i="37"/>
  <c r="B12" i="37"/>
  <c r="B11" i="37"/>
  <c r="B6" i="37"/>
  <c r="B37" i="35"/>
  <c r="B35" i="35"/>
  <c r="B33" i="35"/>
  <c r="B32" i="35"/>
  <c r="F29" i="35"/>
  <c r="D29" i="35"/>
  <c r="C29" i="35"/>
  <c r="F27" i="35"/>
  <c r="D27" i="35"/>
  <c r="C27" i="35"/>
  <c r="B26" i="35"/>
  <c r="B25" i="35"/>
  <c r="B24" i="35"/>
  <c r="B22" i="35"/>
  <c r="B21" i="35"/>
  <c r="B19" i="35"/>
  <c r="B18" i="35"/>
  <c r="B17" i="35"/>
  <c r="B16" i="35"/>
  <c r="A5" i="35"/>
  <c r="B39" i="32"/>
  <c r="B37" i="32"/>
  <c r="B36" i="32"/>
  <c r="B35" i="32"/>
  <c r="F31" i="32"/>
  <c r="D31" i="32"/>
  <c r="C31" i="32"/>
  <c r="F29" i="32"/>
  <c r="D29" i="32"/>
  <c r="C29" i="32"/>
  <c r="B28" i="32"/>
  <c r="B27" i="32"/>
  <c r="B26" i="32"/>
  <c r="B24" i="32"/>
  <c r="B22" i="32"/>
  <c r="B21" i="32"/>
  <c r="B20" i="32"/>
  <c r="B19" i="32"/>
  <c r="B13" i="32"/>
  <c r="B12" i="32"/>
  <c r="B11" i="32"/>
  <c r="B43" i="31"/>
  <c r="B41" i="31"/>
  <c r="B40" i="31"/>
  <c r="B39" i="31"/>
  <c r="F36" i="31"/>
  <c r="D36" i="31"/>
  <c r="C36" i="31"/>
  <c r="F34" i="31"/>
  <c r="D34" i="31"/>
  <c r="C34" i="31"/>
  <c r="B33" i="31"/>
  <c r="B32" i="31"/>
  <c r="B31" i="31"/>
  <c r="B29" i="31"/>
  <c r="B27" i="31"/>
  <c r="B26" i="31"/>
  <c r="B25" i="31"/>
  <c r="B19" i="31"/>
  <c r="B18" i="31"/>
  <c r="B17" i="31"/>
  <c r="B16" i="31"/>
  <c r="B15" i="31"/>
  <c r="B14" i="31"/>
  <c r="B13" i="31"/>
  <c r="B12" i="31"/>
  <c r="B11" i="31"/>
  <c r="A6" i="31"/>
  <c r="A5" i="31"/>
  <c r="B48" i="29"/>
  <c r="B46" i="29"/>
  <c r="B45" i="29"/>
  <c r="B44" i="29"/>
  <c r="F40" i="29"/>
  <c r="D40" i="29"/>
  <c r="C40" i="29"/>
  <c r="B37" i="29"/>
  <c r="B36" i="29"/>
  <c r="B35" i="29"/>
  <c r="B33" i="29"/>
  <c r="B32" i="29"/>
  <c r="B30" i="29"/>
  <c r="B29" i="29"/>
  <c r="B28" i="29"/>
  <c r="B27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F42" i="27"/>
  <c r="D42" i="27"/>
  <c r="C42" i="27"/>
  <c r="B41" i="27"/>
  <c r="B40" i="27"/>
  <c r="B39" i="27"/>
  <c r="F36" i="27"/>
  <c r="D36" i="27"/>
  <c r="C36" i="27"/>
  <c r="F34" i="27"/>
  <c r="D34" i="27"/>
  <c r="C34" i="27"/>
  <c r="B33" i="27"/>
  <c r="B32" i="27"/>
  <c r="B31" i="27"/>
  <c r="B29" i="27"/>
  <c r="B28" i="27"/>
  <c r="B27" i="27"/>
  <c r="B25" i="27"/>
  <c r="B24" i="27"/>
  <c r="B23" i="27"/>
  <c r="B22" i="27"/>
  <c r="B16" i="27"/>
  <c r="B15" i="27"/>
  <c r="B14" i="27"/>
  <c r="B13" i="27"/>
  <c r="B12" i="27"/>
  <c r="B11" i="27"/>
  <c r="A6" i="27"/>
  <c r="A5" i="27"/>
  <c r="B40" i="26"/>
  <c r="B38" i="26"/>
  <c r="B37" i="26"/>
  <c r="B36" i="26"/>
  <c r="F33" i="26"/>
  <c r="D33" i="26"/>
  <c r="C33" i="26"/>
  <c r="F31" i="26"/>
  <c r="D31" i="26"/>
  <c r="C31" i="26"/>
  <c r="B30" i="26"/>
  <c r="B29" i="26"/>
  <c r="B28" i="26"/>
  <c r="B26" i="26"/>
  <c r="B25" i="26"/>
  <c r="B23" i="26"/>
  <c r="B22" i="26"/>
  <c r="B21" i="26"/>
  <c r="B20" i="26"/>
  <c r="B57" i="24"/>
  <c r="B55" i="24"/>
  <c r="B54" i="24"/>
  <c r="B53" i="24"/>
  <c r="F50" i="24"/>
  <c r="D50" i="24"/>
  <c r="C50" i="24"/>
  <c r="F48" i="24"/>
  <c r="D48" i="24"/>
  <c r="C48" i="24"/>
  <c r="B47" i="24"/>
  <c r="B46" i="24"/>
  <c r="B45" i="24"/>
  <c r="B43" i="24"/>
  <c r="B42" i="24"/>
  <c r="B41" i="24"/>
  <c r="B39" i="24"/>
  <c r="B38" i="24"/>
  <c r="B37" i="24"/>
  <c r="B36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46" i="21"/>
  <c r="B45" i="21"/>
  <c r="B44" i="21"/>
  <c r="F41" i="21"/>
  <c r="D41" i="21"/>
  <c r="C41" i="21"/>
  <c r="F39" i="21"/>
  <c r="D39" i="21"/>
  <c r="C39" i="21"/>
  <c r="B38" i="21"/>
  <c r="B37" i="21"/>
  <c r="B36" i="21"/>
  <c r="B34" i="21"/>
  <c r="B33" i="21"/>
  <c r="B31" i="21"/>
  <c r="B30" i="21"/>
  <c r="B29" i="21"/>
  <c r="B28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A5" i="21"/>
  <c r="F50" i="20"/>
  <c r="D50" i="20"/>
  <c r="C50" i="20"/>
  <c r="B49" i="20"/>
  <c r="B48" i="20"/>
  <c r="B47" i="20"/>
  <c r="F43" i="20"/>
  <c r="D43" i="20"/>
  <c r="C43" i="20"/>
  <c r="F41" i="20"/>
  <c r="D41" i="20"/>
  <c r="C41" i="20"/>
  <c r="B40" i="20"/>
  <c r="B39" i="20"/>
  <c r="B38" i="20"/>
  <c r="B36" i="20"/>
  <c r="B35" i="20"/>
  <c r="B34" i="20"/>
  <c r="B32" i="20"/>
  <c r="B31" i="20"/>
  <c r="B30" i="20"/>
  <c r="B29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B11" i="20"/>
  <c r="B48" i="18"/>
  <c r="B46" i="18"/>
  <c r="B45" i="18"/>
  <c r="B44" i="18"/>
  <c r="F40" i="18"/>
  <c r="D40" i="18"/>
  <c r="C40" i="18"/>
  <c r="B37" i="18"/>
  <c r="B36" i="18"/>
  <c r="B35" i="18"/>
  <c r="B33" i="18"/>
  <c r="B32" i="18"/>
  <c r="B30" i="18"/>
  <c r="B29" i="18"/>
  <c r="B28" i="18"/>
  <c r="B27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B30" i="16"/>
  <c r="B29" i="16"/>
  <c r="F26" i="16"/>
  <c r="D26" i="16"/>
  <c r="C26" i="16"/>
  <c r="B25" i="16"/>
  <c r="B23" i="16"/>
  <c r="B21" i="16"/>
  <c r="A11" i="16"/>
  <c r="F36" i="14"/>
  <c r="D36" i="14"/>
  <c r="C36" i="14"/>
  <c r="B35" i="14"/>
  <c r="B33" i="14"/>
  <c r="F30" i="14"/>
  <c r="D30" i="14"/>
  <c r="C30" i="14"/>
  <c r="F28" i="14"/>
  <c r="D28" i="14"/>
  <c r="C28" i="14"/>
  <c r="B27" i="14"/>
  <c r="B26" i="14"/>
  <c r="B25" i="14"/>
  <c r="B23" i="14"/>
  <c r="B22" i="14"/>
  <c r="B20" i="14"/>
  <c r="B19" i="14"/>
  <c r="B18" i="14"/>
  <c r="B42" i="13"/>
  <c r="B40" i="13"/>
  <c r="B38" i="13"/>
  <c r="F35" i="13"/>
  <c r="D35" i="13"/>
  <c r="C35" i="13"/>
  <c r="F33" i="13"/>
  <c r="D33" i="13"/>
  <c r="C33" i="13"/>
  <c r="B32" i="13"/>
  <c r="B31" i="13"/>
  <c r="B30" i="13"/>
  <c r="B28" i="13"/>
  <c r="B26" i="13"/>
  <c r="B25" i="13"/>
  <c r="B24" i="13"/>
  <c r="B23" i="13"/>
  <c r="B17" i="13"/>
  <c r="B16" i="13"/>
  <c r="B15" i="13"/>
  <c r="B14" i="13"/>
  <c r="A5" i="13"/>
  <c r="B44" i="12"/>
  <c r="B42" i="12"/>
  <c r="B41" i="12"/>
  <c r="B40" i="12"/>
  <c r="F37" i="12"/>
  <c r="D37" i="12"/>
  <c r="C37" i="12"/>
  <c r="F35" i="12"/>
  <c r="D35" i="12"/>
  <c r="C35" i="12"/>
  <c r="B34" i="12"/>
  <c r="B33" i="12"/>
  <c r="B32" i="12"/>
  <c r="B30" i="12"/>
  <c r="B28" i="12"/>
  <c r="B26" i="12"/>
  <c r="B25" i="12"/>
  <c r="B19" i="12"/>
  <c r="B18" i="12"/>
  <c r="B17" i="12"/>
  <c r="B16" i="12"/>
  <c r="B15" i="12"/>
  <c r="B14" i="12"/>
  <c r="A6" i="12"/>
  <c r="B44" i="11"/>
  <c r="B40" i="11"/>
  <c r="F36" i="11"/>
  <c r="D36" i="11"/>
  <c r="C36" i="11"/>
  <c r="F34" i="11"/>
  <c r="D34" i="11"/>
  <c r="C34" i="11"/>
  <c r="B33" i="11"/>
  <c r="B32" i="11"/>
  <c r="B31" i="11"/>
  <c r="B29" i="11"/>
  <c r="B27" i="11"/>
  <c r="B26" i="11"/>
  <c r="B25" i="11"/>
  <c r="B24" i="11"/>
  <c r="B18" i="11"/>
  <c r="B17" i="11"/>
  <c r="B16" i="11"/>
  <c r="B15" i="11"/>
  <c r="B14" i="11"/>
  <c r="A9" i="11"/>
  <c r="A8" i="11"/>
  <c r="A7" i="11"/>
  <c r="F35" i="10"/>
  <c r="D35" i="10"/>
  <c r="C35" i="10"/>
  <c r="B34" i="10"/>
  <c r="B33" i="10"/>
  <c r="F30" i="10"/>
  <c r="D30" i="10"/>
  <c r="C30" i="10"/>
  <c r="B29" i="10"/>
  <c r="B27" i="10"/>
  <c r="B25" i="10"/>
  <c r="B23" i="10"/>
  <c r="B22" i="10"/>
  <c r="B21" i="10"/>
  <c r="B20" i="10"/>
  <c r="A14" i="10"/>
  <c r="A9" i="10"/>
  <c r="A6" i="10"/>
  <c r="B40" i="8"/>
  <c r="B38" i="8"/>
  <c r="F35" i="8"/>
  <c r="D35" i="8"/>
  <c r="C35" i="8"/>
  <c r="F33" i="8"/>
  <c r="D33" i="8"/>
  <c r="C33" i="8"/>
  <c r="B32" i="8"/>
  <c r="B31" i="8"/>
  <c r="B30" i="8"/>
  <c r="B28" i="8"/>
  <c r="B26" i="8"/>
  <c r="B25" i="8"/>
  <c r="B24" i="8"/>
  <c r="B23" i="8"/>
  <c r="B17" i="8"/>
  <c r="B16" i="8"/>
  <c r="B15" i="8"/>
  <c r="B14" i="8"/>
  <c r="E31" i="37" l="1"/>
  <c r="G31" i="37"/>
  <c r="E31" i="38"/>
  <c r="G31" i="38"/>
  <c r="G28" i="43"/>
  <c r="E28" i="43"/>
  <c r="G50" i="24"/>
  <c r="E50" i="24"/>
  <c r="E36" i="31"/>
  <c r="G36" i="31"/>
  <c r="G31" i="48"/>
  <c r="E31" i="48"/>
  <c r="E55" i="51"/>
  <c r="G55" i="51"/>
  <c r="E30" i="54"/>
  <c r="G30" i="54"/>
  <c r="E41" i="21"/>
  <c r="G41" i="21"/>
  <c r="E29" i="35"/>
  <c r="G29" i="35"/>
  <c r="E87" i="42"/>
  <c r="G87" i="42"/>
  <c r="E30" i="43"/>
  <c r="G30" i="43"/>
  <c r="E26" i="49"/>
  <c r="G26" i="49"/>
  <c r="G24" i="54"/>
  <c r="E24" i="54"/>
  <c r="G45" i="55"/>
  <c r="E45" i="55"/>
  <c r="E27" i="57"/>
  <c r="G27" i="57"/>
  <c r="E35" i="10"/>
  <c r="G35" i="10"/>
  <c r="G33" i="13"/>
  <c r="E33" i="13"/>
  <c r="G26" i="16"/>
  <c r="E26" i="16"/>
  <c r="E41" i="20"/>
  <c r="G41" i="20"/>
  <c r="E33" i="26"/>
  <c r="G33" i="26"/>
  <c r="E29" i="32"/>
  <c r="G29" i="32"/>
  <c r="E30" i="47"/>
  <c r="G30" i="47"/>
  <c r="E32" i="50"/>
  <c r="G32" i="50"/>
  <c r="G35" i="12"/>
  <c r="E35" i="12"/>
  <c r="G36" i="14"/>
  <c r="E36" i="14"/>
  <c r="E50" i="20"/>
  <c r="G50" i="20"/>
  <c r="E34" i="27"/>
  <c r="G34" i="27"/>
  <c r="E38" i="47"/>
  <c r="G38" i="47"/>
  <c r="G33" i="48"/>
  <c r="E33" i="48"/>
  <c r="G57" i="51"/>
  <c r="E57" i="51"/>
  <c r="E28" i="14"/>
  <c r="G28" i="14"/>
  <c r="E40" i="18"/>
  <c r="G40" i="18"/>
  <c r="E39" i="21"/>
  <c r="G39" i="21"/>
  <c r="E48" i="24"/>
  <c r="G48" i="24"/>
  <c r="E42" i="27"/>
  <c r="G42" i="27"/>
  <c r="E40" i="29"/>
  <c r="G40" i="29"/>
  <c r="E29" i="37"/>
  <c r="G29" i="37"/>
  <c r="G89" i="42"/>
  <c r="E89" i="42"/>
  <c r="E26" i="54"/>
  <c r="G26" i="54"/>
  <c r="G36" i="11"/>
  <c r="E36" i="11"/>
  <c r="E30" i="10"/>
  <c r="G30" i="10"/>
  <c r="E34" i="11"/>
  <c r="G34" i="11"/>
  <c r="E35" i="13"/>
  <c r="G35" i="13"/>
  <c r="E43" i="20"/>
  <c r="G43" i="20"/>
  <c r="E34" i="31"/>
  <c r="G34" i="31"/>
  <c r="G31" i="32"/>
  <c r="E31" i="32"/>
  <c r="E29" i="45"/>
  <c r="G29" i="45"/>
  <c r="E32" i="47"/>
  <c r="G32" i="47"/>
  <c r="E34" i="50"/>
  <c r="G34" i="50"/>
  <c r="G31" i="26"/>
  <c r="E31" i="26"/>
  <c r="G33" i="8"/>
  <c r="E33" i="8"/>
  <c r="G35" i="8"/>
  <c r="E35" i="8"/>
  <c r="E37" i="12"/>
  <c r="G37" i="12"/>
  <c r="E30" i="14"/>
  <c r="G30" i="14"/>
  <c r="E36" i="27"/>
  <c r="G36" i="27"/>
  <c r="G27" i="35"/>
  <c r="E27" i="35"/>
  <c r="G24" i="49"/>
  <c r="E24" i="49"/>
  <c r="E43" i="55"/>
  <c r="G43" i="55"/>
  <c r="G25" i="57"/>
  <c r="E25" i="57"/>
  <c r="I42" i="51"/>
  <c r="H42" i="51"/>
  <c r="I16" i="50"/>
  <c r="H59" i="51"/>
  <c r="I36" i="50"/>
  <c r="I28" i="50"/>
  <c r="H28" i="50"/>
  <c r="H28" i="49"/>
  <c r="H22" i="49"/>
  <c r="I28" i="49"/>
  <c r="I47" i="40"/>
  <c r="I22" i="49"/>
  <c r="H39" i="48"/>
  <c r="I27" i="45"/>
  <c r="H47" i="40"/>
  <c r="H27" i="45"/>
  <c r="I6" i="45"/>
  <c r="I11" i="45" s="1"/>
  <c r="I12" i="45" s="1"/>
  <c r="I32" i="40"/>
  <c r="H18" i="49"/>
  <c r="H20" i="48"/>
  <c r="H23" i="47"/>
  <c r="F27" i="45"/>
  <c r="H6" i="45"/>
  <c r="H11" i="45" s="1"/>
  <c r="H12" i="45" s="1"/>
  <c r="H32" i="40"/>
  <c r="H24" i="48"/>
  <c r="H35" i="48"/>
  <c r="D27" i="45"/>
  <c r="I23" i="43"/>
  <c r="H34" i="47"/>
  <c r="H18" i="47"/>
  <c r="H25" i="43"/>
  <c r="H23" i="43"/>
  <c r="H14" i="43"/>
  <c r="D29" i="38"/>
  <c r="I6" i="40"/>
  <c r="I37" i="38"/>
  <c r="H33" i="37"/>
  <c r="H6" i="40"/>
  <c r="H37" i="38"/>
  <c r="I7" i="38"/>
  <c r="H17" i="37"/>
  <c r="I29" i="38"/>
  <c r="H25" i="37"/>
  <c r="H13" i="37"/>
  <c r="I38" i="32"/>
  <c r="I34" i="32"/>
  <c r="I23" i="32"/>
  <c r="H29" i="38"/>
  <c r="I22" i="38"/>
  <c r="H37" i="37"/>
  <c r="H38" i="32"/>
  <c r="H23" i="32"/>
  <c r="I42" i="31"/>
  <c r="I28" i="31"/>
  <c r="F29" i="38"/>
  <c r="H22" i="38"/>
  <c r="H22" i="37"/>
  <c r="H7" i="37"/>
  <c r="H42" i="31"/>
  <c r="H28" i="31"/>
  <c r="H39" i="26"/>
  <c r="I30" i="27"/>
  <c r="I6" i="29"/>
  <c r="H6" i="29"/>
  <c r="I24" i="31"/>
  <c r="I6" i="32"/>
  <c r="I31" i="29"/>
  <c r="H6" i="32"/>
  <c r="H43" i="29"/>
  <c r="H6" i="27"/>
  <c r="I39" i="26"/>
  <c r="I24" i="26"/>
  <c r="I15" i="26"/>
  <c r="H6" i="18"/>
  <c r="I47" i="18"/>
  <c r="I31" i="18"/>
  <c r="I26" i="18"/>
  <c r="H6" i="24"/>
  <c r="H47" i="18"/>
  <c r="H34" i="18"/>
  <c r="I6" i="27"/>
  <c r="H35" i="24"/>
  <c r="H28" i="20"/>
  <c r="I26" i="27"/>
  <c r="H37" i="20"/>
  <c r="H56" i="24"/>
  <c r="C7" i="20"/>
  <c r="H40" i="24"/>
  <c r="H33" i="20"/>
  <c r="I6" i="18"/>
  <c r="I39" i="48"/>
  <c r="I37" i="37"/>
  <c r="I6" i="24"/>
  <c r="I56" i="24"/>
  <c r="I35" i="48"/>
  <c r="I34" i="47"/>
  <c r="I17" i="37"/>
  <c r="H41" i="13"/>
  <c r="H27" i="13"/>
  <c r="I43" i="11"/>
  <c r="I39" i="11"/>
  <c r="I28" i="11"/>
  <c r="I24" i="14"/>
  <c r="I6" i="16"/>
  <c r="H43" i="11"/>
  <c r="H30" i="11"/>
  <c r="H28" i="11"/>
  <c r="H17" i="14"/>
  <c r="H6" i="16"/>
  <c r="I18" i="13"/>
  <c r="I13" i="14"/>
  <c r="H13" i="14"/>
  <c r="I41" i="13"/>
  <c r="I27" i="13"/>
  <c r="F6" i="16"/>
  <c r="D6" i="18"/>
  <c r="F56" i="24"/>
  <c r="F6" i="27"/>
  <c r="F37" i="38"/>
  <c r="D39" i="48"/>
  <c r="D47" i="18"/>
  <c r="F6" i="18"/>
  <c r="F38" i="32"/>
  <c r="D39" i="26"/>
  <c r="D37" i="38"/>
  <c r="D6" i="16"/>
  <c r="D37" i="8"/>
  <c r="D56" i="24"/>
  <c r="I18" i="8"/>
  <c r="F22" i="8"/>
  <c r="D31" i="18"/>
  <c r="I29" i="8"/>
  <c r="D27" i="8"/>
  <c r="F39" i="26"/>
  <c r="D24" i="26"/>
  <c r="F6" i="29"/>
  <c r="F6" i="24"/>
  <c r="D52" i="24"/>
  <c r="D6" i="24"/>
  <c r="I27" i="8"/>
  <c r="F27" i="8"/>
  <c r="H22" i="8"/>
  <c r="D33" i="20"/>
  <c r="D32" i="14"/>
  <c r="D18" i="8"/>
  <c r="F26" i="18"/>
  <c r="D6" i="27"/>
  <c r="F24" i="26"/>
  <c r="F27" i="26"/>
  <c r="F13" i="14"/>
  <c r="F47" i="18"/>
  <c r="F32" i="14"/>
  <c r="F18" i="8"/>
  <c r="D22" i="18"/>
  <c r="D21" i="14"/>
  <c r="D17" i="14"/>
  <c r="H27" i="8"/>
  <c r="F46" i="20"/>
  <c r="F43" i="29"/>
  <c r="F44" i="24"/>
  <c r="D37" i="37"/>
  <c r="D22" i="37"/>
  <c r="F13" i="37"/>
  <c r="D13" i="37"/>
  <c r="F39" i="48"/>
  <c r="D34" i="29"/>
  <c r="F26" i="29"/>
  <c r="F22" i="38"/>
  <c r="D22" i="38"/>
  <c r="D36" i="50"/>
  <c r="F27" i="48"/>
  <c r="D23" i="32"/>
  <c r="D13" i="38"/>
  <c r="F31" i="49"/>
  <c r="D16" i="48"/>
  <c r="D27" i="48"/>
  <c r="F28" i="49"/>
  <c r="D7" i="38"/>
  <c r="F13" i="38"/>
  <c r="D38" i="32"/>
  <c r="F34" i="47"/>
  <c r="D25" i="32"/>
  <c r="F23" i="32"/>
  <c r="D20" i="48"/>
  <c r="D26" i="47"/>
  <c r="F37" i="37"/>
  <c r="D33" i="37"/>
  <c r="F17" i="38"/>
  <c r="F16" i="48"/>
  <c r="F22" i="49"/>
  <c r="D22" i="49"/>
  <c r="D25" i="50"/>
  <c r="D31" i="29"/>
  <c r="H16" i="57"/>
  <c r="F28" i="54"/>
  <c r="D6" i="51"/>
  <c r="F63" i="51"/>
  <c r="F6" i="40"/>
  <c r="D12" i="57"/>
  <c r="F16" i="57"/>
  <c r="F6" i="57"/>
  <c r="D96" i="42"/>
  <c r="F96" i="42"/>
  <c r="D6" i="59"/>
  <c r="D6" i="57"/>
  <c r="D63" i="51"/>
  <c r="I21" i="45"/>
  <c r="H31" i="45"/>
  <c r="D6" i="40"/>
  <c r="D11" i="59"/>
  <c r="F11" i="59"/>
  <c r="H12" i="57"/>
  <c r="I16" i="57"/>
  <c r="F52" i="55"/>
  <c r="F36" i="55"/>
  <c r="D39" i="55"/>
  <c r="F6" i="51"/>
  <c r="D21" i="45"/>
  <c r="H83" i="42"/>
  <c r="D32" i="40"/>
  <c r="F32" i="40"/>
  <c r="F6" i="59"/>
  <c r="D28" i="54"/>
  <c r="F23" i="43"/>
  <c r="F23" i="45"/>
  <c r="D92" i="42"/>
  <c r="F47" i="40"/>
  <c r="D52" i="55"/>
  <c r="F59" i="51"/>
  <c r="D23" i="43"/>
  <c r="D32" i="43"/>
  <c r="H76" i="42"/>
  <c r="H92" i="42"/>
  <c r="H80" i="42"/>
  <c r="F12" i="57"/>
  <c r="F48" i="55"/>
  <c r="D36" i="55"/>
  <c r="F19" i="54"/>
  <c r="F21" i="54"/>
  <c r="D51" i="51"/>
  <c r="D59" i="51"/>
  <c r="I31" i="45"/>
  <c r="I16" i="45"/>
  <c r="H21" i="45"/>
  <c r="F6" i="45"/>
  <c r="F11" i="45" s="1"/>
  <c r="F12" i="45" s="1"/>
  <c r="I96" i="42"/>
  <c r="H6" i="42"/>
  <c r="D6" i="42"/>
  <c r="F6" i="42"/>
  <c r="D47" i="40"/>
  <c r="F43" i="40"/>
  <c r="I12" i="57"/>
  <c r="I21" i="57"/>
  <c r="D16" i="57"/>
  <c r="D19" i="54"/>
  <c r="D47" i="51"/>
  <c r="F18" i="43"/>
  <c r="D6" i="45"/>
  <c r="D11" i="45" s="1"/>
  <c r="D12" i="45" s="1"/>
  <c r="F21" i="45"/>
  <c r="H96" i="42"/>
  <c r="H98" i="42" s="1"/>
  <c r="I6" i="42"/>
  <c r="D80" i="42"/>
  <c r="F34" i="40"/>
  <c r="D36" i="35"/>
  <c r="F6" i="32"/>
  <c r="F12" i="16"/>
  <c r="F20" i="16"/>
  <c r="H15" i="10"/>
  <c r="D43" i="11"/>
  <c r="H36" i="35"/>
  <c r="H20" i="35"/>
  <c r="D12" i="16"/>
  <c r="D20" i="16"/>
  <c r="H29" i="12"/>
  <c r="H43" i="12"/>
  <c r="H24" i="10"/>
  <c r="D29" i="12"/>
  <c r="F43" i="12"/>
  <c r="F15" i="10"/>
  <c r="G21" i="35"/>
  <c r="F42" i="31"/>
  <c r="I15" i="35"/>
  <c r="D42" i="31"/>
  <c r="F38" i="31"/>
  <c r="I43" i="21"/>
  <c r="H20" i="16"/>
  <c r="H12" i="16"/>
  <c r="I32" i="10"/>
  <c r="F27" i="13"/>
  <c r="D41" i="13"/>
  <c r="D30" i="11"/>
  <c r="F28" i="11"/>
  <c r="F24" i="10"/>
  <c r="H31" i="35"/>
  <c r="F36" i="35"/>
  <c r="I27" i="21"/>
  <c r="I20" i="16"/>
  <c r="D39" i="12"/>
  <c r="D15" i="10"/>
  <c r="I36" i="35"/>
  <c r="H15" i="35"/>
  <c r="F31" i="35"/>
  <c r="D20" i="35"/>
  <c r="D28" i="31"/>
  <c r="F17" i="27"/>
  <c r="H35" i="21"/>
  <c r="F43" i="21"/>
  <c r="H28" i="16"/>
  <c r="I12" i="16"/>
  <c r="I29" i="12"/>
  <c r="I15" i="10"/>
  <c r="I26" i="10"/>
  <c r="H19" i="10"/>
  <c r="D29" i="13"/>
  <c r="D31" i="12"/>
  <c r="F29" i="12"/>
  <c r="D26" i="10"/>
  <c r="F28" i="31"/>
  <c r="F21" i="27"/>
  <c r="D21" i="27"/>
  <c r="D38" i="27"/>
  <c r="H43" i="21"/>
  <c r="I35" i="21"/>
  <c r="D43" i="21"/>
  <c r="D28" i="16"/>
  <c r="I43" i="12"/>
  <c r="I24" i="10"/>
  <c r="F22" i="13"/>
  <c r="D43" i="12"/>
  <c r="D39" i="11"/>
  <c r="I20" i="35"/>
  <c r="H23" i="35"/>
  <c r="D6" i="32"/>
  <c r="F32" i="21"/>
  <c r="F35" i="21"/>
  <c r="I28" i="16"/>
  <c r="F28" i="16"/>
  <c r="H24" i="12"/>
  <c r="D27" i="13"/>
  <c r="F41" i="13"/>
  <c r="D24" i="12"/>
  <c r="F39" i="12"/>
  <c r="D28" i="11"/>
  <c r="F43" i="11"/>
  <c r="F26" i="10"/>
  <c r="D24" i="10"/>
  <c r="I11" i="59"/>
  <c r="I6" i="59"/>
  <c r="F18" i="57"/>
  <c r="H11" i="59"/>
  <c r="H6" i="59"/>
  <c r="D18" i="57"/>
  <c r="I6" i="51"/>
  <c r="I63" i="51"/>
  <c r="H6" i="51"/>
  <c r="H63" i="51"/>
  <c r="I52" i="55"/>
  <c r="I6" i="57"/>
  <c r="I28" i="54"/>
  <c r="I19" i="54"/>
  <c r="H52" i="55"/>
  <c r="H6" i="57"/>
  <c r="H28" i="54"/>
  <c r="H19" i="54"/>
  <c r="G20" i="55"/>
  <c r="G20" i="54"/>
  <c r="I18" i="57"/>
  <c r="G18" i="54"/>
  <c r="H20" i="59"/>
  <c r="H18" i="57"/>
  <c r="G49" i="55" l="1"/>
  <c r="E49" i="55"/>
  <c r="G77" i="42"/>
  <c r="E77" i="42"/>
  <c r="G36" i="18"/>
  <c r="E36" i="18"/>
  <c r="G37" i="18"/>
  <c r="E37" i="18"/>
  <c r="E26" i="26"/>
  <c r="G26" i="26"/>
  <c r="G30" i="20"/>
  <c r="E30" i="20"/>
  <c r="C31" i="29"/>
  <c r="G32" i="29"/>
  <c r="E32" i="29"/>
  <c r="G39" i="27"/>
  <c r="E39" i="27"/>
  <c r="C24" i="31"/>
  <c r="E25" i="31"/>
  <c r="G25" i="31"/>
  <c r="G28" i="27"/>
  <c r="E28" i="27"/>
  <c r="G24" i="37"/>
  <c r="E24" i="37"/>
  <c r="E30" i="40"/>
  <c r="G30" i="40"/>
  <c r="E27" i="32"/>
  <c r="G27" i="32"/>
  <c r="G34" i="35"/>
  <c r="E34" i="35"/>
  <c r="C32" i="40"/>
  <c r="E33" i="40"/>
  <c r="G33" i="40"/>
  <c r="C34" i="40"/>
  <c r="E35" i="40"/>
  <c r="G35" i="40"/>
  <c r="G34" i="38"/>
  <c r="E34" i="38"/>
  <c r="G38" i="48"/>
  <c r="E38" i="48"/>
  <c r="C39" i="48"/>
  <c r="G40" i="48"/>
  <c r="E40" i="48"/>
  <c r="C25" i="43"/>
  <c r="E26" i="43"/>
  <c r="G26" i="43"/>
  <c r="C31" i="49"/>
  <c r="G32" i="49"/>
  <c r="E32" i="49"/>
  <c r="E27" i="43"/>
  <c r="G27" i="43"/>
  <c r="E33" i="43"/>
  <c r="G33" i="43"/>
  <c r="E34" i="49"/>
  <c r="G34" i="49"/>
  <c r="G32" i="51"/>
  <c r="E32" i="51"/>
  <c r="G25" i="51"/>
  <c r="E25" i="51"/>
  <c r="G39" i="50"/>
  <c r="E39" i="50"/>
  <c r="G49" i="51"/>
  <c r="E49" i="51"/>
  <c r="E50" i="51"/>
  <c r="G50" i="51"/>
  <c r="G37" i="51"/>
  <c r="E37" i="51"/>
  <c r="E29" i="50"/>
  <c r="G29" i="50"/>
  <c r="G54" i="51"/>
  <c r="E54" i="51"/>
  <c r="G38" i="55"/>
  <c r="E38" i="55"/>
  <c r="G41" i="55"/>
  <c r="E41" i="55"/>
  <c r="C28" i="54"/>
  <c r="E29" i="54"/>
  <c r="G29" i="54"/>
  <c r="C36" i="35"/>
  <c r="E37" i="35"/>
  <c r="G37" i="35"/>
  <c r="C38" i="40"/>
  <c r="E39" i="40"/>
  <c r="G39" i="40"/>
  <c r="G26" i="45"/>
  <c r="E26" i="45"/>
  <c r="E79" i="42"/>
  <c r="G79" i="42"/>
  <c r="G85" i="42"/>
  <c r="E85" i="42"/>
  <c r="F25" i="43"/>
  <c r="E86" i="42"/>
  <c r="G86" i="42"/>
  <c r="G20" i="57"/>
  <c r="E20" i="57"/>
  <c r="H29" i="8"/>
  <c r="I5" i="21"/>
  <c r="I7" i="20"/>
  <c r="C37" i="20"/>
  <c r="E38" i="20"/>
  <c r="G38" i="20"/>
  <c r="G26" i="24"/>
  <c r="E26" i="24"/>
  <c r="G40" i="20"/>
  <c r="E40" i="20"/>
  <c r="E28" i="24"/>
  <c r="G28" i="24"/>
  <c r="E29" i="26"/>
  <c r="G29" i="26"/>
  <c r="G32" i="27"/>
  <c r="E32" i="27"/>
  <c r="G23" i="27"/>
  <c r="E23" i="27"/>
  <c r="G29" i="40"/>
  <c r="E29" i="40"/>
  <c r="G21" i="38"/>
  <c r="E46" i="40"/>
  <c r="G46" i="40"/>
  <c r="H13" i="38"/>
  <c r="E34" i="43"/>
  <c r="G34" i="43"/>
  <c r="C23" i="47"/>
  <c r="G24" i="47"/>
  <c r="E24" i="47"/>
  <c r="G20" i="49"/>
  <c r="G37" i="48"/>
  <c r="E37" i="48"/>
  <c r="G45" i="51"/>
  <c r="E45" i="51"/>
  <c r="G33" i="51"/>
  <c r="E33" i="51"/>
  <c r="C63" i="51"/>
  <c r="G64" i="51"/>
  <c r="E64" i="51"/>
  <c r="H47" i="51"/>
  <c r="C51" i="51"/>
  <c r="G52" i="51"/>
  <c r="E52" i="51"/>
  <c r="G22" i="55"/>
  <c r="E22" i="55"/>
  <c r="G42" i="55"/>
  <c r="E42" i="55"/>
  <c r="G24" i="55"/>
  <c r="E24" i="55"/>
  <c r="G34" i="55"/>
  <c r="E34" i="55"/>
  <c r="G34" i="21"/>
  <c r="E34" i="21"/>
  <c r="F83" i="42"/>
  <c r="C40" i="40"/>
  <c r="E41" i="40"/>
  <c r="G41" i="40"/>
  <c r="E94" i="42"/>
  <c r="G94" i="42"/>
  <c r="G22" i="45"/>
  <c r="E22" i="45"/>
  <c r="G25" i="45"/>
  <c r="E25" i="45"/>
  <c r="F34" i="32"/>
  <c r="F37" i="8"/>
  <c r="G33" i="18"/>
  <c r="E33" i="18"/>
  <c r="G23" i="26"/>
  <c r="E23" i="26"/>
  <c r="G36" i="20"/>
  <c r="E36" i="20"/>
  <c r="G25" i="24"/>
  <c r="E25" i="24"/>
  <c r="C24" i="26"/>
  <c r="G25" i="26"/>
  <c r="E25" i="26"/>
  <c r="E39" i="24"/>
  <c r="G39" i="24"/>
  <c r="G25" i="27"/>
  <c r="E25" i="27"/>
  <c r="G42" i="24"/>
  <c r="E42" i="24"/>
  <c r="G32" i="20"/>
  <c r="E32" i="20"/>
  <c r="E22" i="24"/>
  <c r="G22" i="24"/>
  <c r="C28" i="31"/>
  <c r="E29" i="31"/>
  <c r="G29" i="31"/>
  <c r="G33" i="27"/>
  <c r="E33" i="27"/>
  <c r="C38" i="31"/>
  <c r="E39" i="31"/>
  <c r="G39" i="31"/>
  <c r="C43" i="40"/>
  <c r="E44" i="40"/>
  <c r="G44" i="40"/>
  <c r="G45" i="40"/>
  <c r="E45" i="40"/>
  <c r="G28" i="38"/>
  <c r="E28" i="38"/>
  <c r="E23" i="38"/>
  <c r="G23" i="38"/>
  <c r="E36" i="32"/>
  <c r="G36" i="32"/>
  <c r="G37" i="40"/>
  <c r="E37" i="40"/>
  <c r="E36" i="47"/>
  <c r="G36" i="47"/>
  <c r="G29" i="48"/>
  <c r="E29" i="48"/>
  <c r="C59" i="51"/>
  <c r="G60" i="51"/>
  <c r="E60" i="51"/>
  <c r="G46" i="51"/>
  <c r="E46" i="51"/>
  <c r="G26" i="51"/>
  <c r="E26" i="51"/>
  <c r="I47" i="51"/>
  <c r="E22" i="51"/>
  <c r="G22" i="51"/>
  <c r="G35" i="55"/>
  <c r="E35" i="55"/>
  <c r="G37" i="55"/>
  <c r="E37" i="55"/>
  <c r="E22" i="54"/>
  <c r="G22" i="54"/>
  <c r="E50" i="55"/>
  <c r="G50" i="55"/>
  <c r="E30" i="21"/>
  <c r="G30" i="21"/>
  <c r="E45" i="21"/>
  <c r="G45" i="21"/>
  <c r="G33" i="21"/>
  <c r="E33" i="21"/>
  <c r="E28" i="21"/>
  <c r="G28" i="21"/>
  <c r="G25" i="35"/>
  <c r="E25" i="35"/>
  <c r="E69" i="42"/>
  <c r="G69" i="42"/>
  <c r="E42" i="40"/>
  <c r="G42" i="40"/>
  <c r="C31" i="45"/>
  <c r="G32" i="45"/>
  <c r="E32" i="45"/>
  <c r="G24" i="45"/>
  <c r="E24" i="45"/>
  <c r="G30" i="18"/>
  <c r="E30" i="18"/>
  <c r="G24" i="24"/>
  <c r="E24" i="24"/>
  <c r="E38" i="26"/>
  <c r="G38" i="26"/>
  <c r="G38" i="24"/>
  <c r="E38" i="24"/>
  <c r="C39" i="26"/>
  <c r="G40" i="26"/>
  <c r="E40" i="26"/>
  <c r="G22" i="20"/>
  <c r="G54" i="24"/>
  <c r="E54" i="24"/>
  <c r="C28" i="20"/>
  <c r="G29" i="20"/>
  <c r="E29" i="20"/>
  <c r="H5" i="21"/>
  <c r="H7" i="20"/>
  <c r="C56" i="24"/>
  <c r="E57" i="24"/>
  <c r="G57" i="24"/>
  <c r="G48" i="20"/>
  <c r="E48" i="20"/>
  <c r="E30" i="24"/>
  <c r="G30" i="24"/>
  <c r="E36" i="26"/>
  <c r="G36" i="26"/>
  <c r="C30" i="31"/>
  <c r="E31" i="31"/>
  <c r="G31" i="31"/>
  <c r="G27" i="31"/>
  <c r="E27" i="31"/>
  <c r="G28" i="37"/>
  <c r="E28" i="37"/>
  <c r="H17" i="38"/>
  <c r="G26" i="38"/>
  <c r="E26" i="38"/>
  <c r="C34" i="32"/>
  <c r="E35" i="32"/>
  <c r="G35" i="32"/>
  <c r="E21" i="37"/>
  <c r="G21" i="37"/>
  <c r="C29" i="38"/>
  <c r="E30" i="38"/>
  <c r="G30" i="38"/>
  <c r="G35" i="38"/>
  <c r="E35" i="38"/>
  <c r="G37" i="47"/>
  <c r="E37" i="47"/>
  <c r="C27" i="45"/>
  <c r="G28" i="45"/>
  <c r="E28" i="45"/>
  <c r="G29" i="47"/>
  <c r="E29" i="47"/>
  <c r="E26" i="48"/>
  <c r="G26" i="48"/>
  <c r="E35" i="47"/>
  <c r="G35" i="47"/>
  <c r="E28" i="48"/>
  <c r="G28" i="48"/>
  <c r="G61" i="51"/>
  <c r="E61" i="51"/>
  <c r="G34" i="51"/>
  <c r="E34" i="51"/>
  <c r="E38" i="50"/>
  <c r="G38" i="50"/>
  <c r="E30" i="51"/>
  <c r="G30" i="51"/>
  <c r="E30" i="50"/>
  <c r="G30" i="50"/>
  <c r="G40" i="55"/>
  <c r="E40" i="55"/>
  <c r="E23" i="55"/>
  <c r="G23" i="55"/>
  <c r="E19" i="57"/>
  <c r="G19" i="57"/>
  <c r="C23" i="35"/>
  <c r="G26" i="35"/>
  <c r="E26" i="35"/>
  <c r="G35" i="35"/>
  <c r="E35" i="35"/>
  <c r="C80" i="42"/>
  <c r="E81" i="42"/>
  <c r="G81" i="42"/>
  <c r="G30" i="57"/>
  <c r="E30" i="57"/>
  <c r="E95" i="42"/>
  <c r="G95" i="42"/>
  <c r="G22" i="57"/>
  <c r="E22" i="57"/>
  <c r="G31" i="57"/>
  <c r="E31" i="57"/>
  <c r="G84" i="42"/>
  <c r="E84" i="42"/>
  <c r="D18" i="49"/>
  <c r="F25" i="50"/>
  <c r="H23" i="11"/>
  <c r="I23" i="11"/>
  <c r="I45" i="11" s="1"/>
  <c r="G46" i="18"/>
  <c r="E46" i="18"/>
  <c r="C33" i="20"/>
  <c r="G34" i="20"/>
  <c r="E34" i="20"/>
  <c r="G23" i="24"/>
  <c r="E23" i="24"/>
  <c r="G35" i="20"/>
  <c r="E35" i="20"/>
  <c r="E37" i="24"/>
  <c r="G37" i="24"/>
  <c r="C52" i="24"/>
  <c r="E53" i="24"/>
  <c r="G53" i="24"/>
  <c r="G22" i="27"/>
  <c r="E22" i="27"/>
  <c r="G29" i="18"/>
  <c r="E29" i="18"/>
  <c r="G39" i="20"/>
  <c r="E39" i="20"/>
  <c r="G27" i="24"/>
  <c r="E27" i="24"/>
  <c r="C27" i="26"/>
  <c r="E28" i="26"/>
  <c r="G28" i="26"/>
  <c r="C30" i="27"/>
  <c r="G31" i="27"/>
  <c r="E31" i="27"/>
  <c r="G45" i="24"/>
  <c r="E45" i="24"/>
  <c r="G29" i="29"/>
  <c r="E29" i="29"/>
  <c r="E33" i="31"/>
  <c r="G33" i="31"/>
  <c r="C34" i="29"/>
  <c r="G35" i="29"/>
  <c r="E35" i="29"/>
  <c r="E40" i="31"/>
  <c r="G40" i="31"/>
  <c r="G26" i="31"/>
  <c r="E26" i="31"/>
  <c r="C42" i="31"/>
  <c r="G43" i="31"/>
  <c r="E43" i="31"/>
  <c r="G36" i="38"/>
  <c r="E36" i="38"/>
  <c r="C37" i="38"/>
  <c r="E38" i="38"/>
  <c r="G38" i="38"/>
  <c r="C25" i="32"/>
  <c r="G26" i="32"/>
  <c r="E26" i="32"/>
  <c r="E31" i="40"/>
  <c r="G31" i="40"/>
  <c r="E28" i="32"/>
  <c r="G28" i="32"/>
  <c r="G36" i="37"/>
  <c r="E36" i="37"/>
  <c r="G37" i="32"/>
  <c r="E37" i="32"/>
  <c r="G30" i="48"/>
  <c r="E30" i="48"/>
  <c r="G21" i="49"/>
  <c r="E21" i="43"/>
  <c r="G21" i="43"/>
  <c r="C28" i="49"/>
  <c r="G29" i="49"/>
  <c r="E29" i="49"/>
  <c r="G33" i="45"/>
  <c r="E33" i="45"/>
  <c r="G30" i="49"/>
  <c r="E30" i="49"/>
  <c r="C47" i="51"/>
  <c r="G48" i="51"/>
  <c r="E48" i="51"/>
  <c r="G24" i="50"/>
  <c r="E24" i="50"/>
  <c r="C25" i="50"/>
  <c r="G26" i="50"/>
  <c r="E26" i="50"/>
  <c r="G27" i="50"/>
  <c r="E27" i="50"/>
  <c r="G43" i="51"/>
  <c r="E43" i="51"/>
  <c r="G51" i="55"/>
  <c r="E51" i="55"/>
  <c r="H36" i="55"/>
  <c r="G25" i="55"/>
  <c r="E25" i="55"/>
  <c r="D19" i="10"/>
  <c r="C43" i="21"/>
  <c r="E44" i="21"/>
  <c r="G44" i="21"/>
  <c r="G32" i="35"/>
  <c r="E32" i="35"/>
  <c r="E37" i="21"/>
  <c r="G37" i="21"/>
  <c r="G24" i="35"/>
  <c r="E24" i="35"/>
  <c r="G71" i="42"/>
  <c r="E71" i="42"/>
  <c r="E70" i="42"/>
  <c r="G70" i="42"/>
  <c r="G20" i="45"/>
  <c r="E20" i="45"/>
  <c r="E68" i="42"/>
  <c r="G68" i="42"/>
  <c r="C35" i="49"/>
  <c r="G36" i="49"/>
  <c r="E36" i="49"/>
  <c r="I37" i="8"/>
  <c r="E35" i="18"/>
  <c r="G35" i="18"/>
  <c r="E49" i="20"/>
  <c r="G49" i="20"/>
  <c r="C35" i="24"/>
  <c r="G36" i="24"/>
  <c r="E36" i="24"/>
  <c r="E37" i="26"/>
  <c r="G37" i="26"/>
  <c r="E47" i="24"/>
  <c r="G47" i="24"/>
  <c r="G28" i="18"/>
  <c r="E28" i="18"/>
  <c r="E45" i="18"/>
  <c r="G45" i="18"/>
  <c r="C40" i="24"/>
  <c r="E41" i="24"/>
  <c r="G41" i="24"/>
  <c r="G31" i="20"/>
  <c r="E31" i="20"/>
  <c r="G21" i="24"/>
  <c r="I43" i="18"/>
  <c r="G40" i="27"/>
  <c r="E40" i="27"/>
  <c r="G45" i="29"/>
  <c r="E45" i="29"/>
  <c r="H34" i="29"/>
  <c r="H20" i="31"/>
  <c r="E32" i="31"/>
  <c r="G32" i="31"/>
  <c r="E41" i="31"/>
  <c r="G41" i="31"/>
  <c r="G28" i="29"/>
  <c r="E28" i="29"/>
  <c r="C23" i="32"/>
  <c r="G24" i="32"/>
  <c r="E24" i="32"/>
  <c r="G27" i="38"/>
  <c r="E27" i="38"/>
  <c r="C47" i="40"/>
  <c r="E48" i="40"/>
  <c r="G48" i="40"/>
  <c r="G22" i="47"/>
  <c r="E22" i="47"/>
  <c r="G23" i="49"/>
  <c r="E23" i="49"/>
  <c r="G22" i="43"/>
  <c r="E22" i="43"/>
  <c r="C23" i="43"/>
  <c r="E24" i="43"/>
  <c r="G24" i="43"/>
  <c r="E25" i="48"/>
  <c r="G25" i="48"/>
  <c r="E22" i="50"/>
  <c r="G22" i="50"/>
  <c r="G62" i="51"/>
  <c r="E62" i="51"/>
  <c r="G53" i="51"/>
  <c r="E53" i="51"/>
  <c r="G23" i="51"/>
  <c r="E23" i="51"/>
  <c r="C52" i="55"/>
  <c r="G53" i="55"/>
  <c r="E53" i="55"/>
  <c r="G26" i="55"/>
  <c r="E26" i="55"/>
  <c r="G27" i="55"/>
  <c r="E27" i="55"/>
  <c r="G21" i="55"/>
  <c r="E21" i="55"/>
  <c r="E23" i="54"/>
  <c r="G23" i="54"/>
  <c r="H32" i="10"/>
  <c r="C35" i="21"/>
  <c r="E36" i="21"/>
  <c r="G36" i="21"/>
  <c r="E29" i="21"/>
  <c r="G29" i="21"/>
  <c r="E38" i="21"/>
  <c r="G38" i="21"/>
  <c r="G22" i="35"/>
  <c r="E22" i="35"/>
  <c r="G24" i="57"/>
  <c r="E24" i="57"/>
  <c r="H23" i="45"/>
  <c r="G32" i="57"/>
  <c r="E32" i="57"/>
  <c r="G34" i="45"/>
  <c r="E34" i="45"/>
  <c r="G23" i="57"/>
  <c r="E23" i="57"/>
  <c r="D5" i="21"/>
  <c r="D7" i="20"/>
  <c r="F5" i="21"/>
  <c r="F7" i="20"/>
  <c r="G46" i="24"/>
  <c r="E46" i="24"/>
  <c r="G41" i="27"/>
  <c r="E41" i="27"/>
  <c r="G44" i="18"/>
  <c r="E44" i="18"/>
  <c r="G23" i="20"/>
  <c r="E23" i="20"/>
  <c r="E55" i="24"/>
  <c r="G55" i="24"/>
  <c r="G47" i="20"/>
  <c r="E47" i="20"/>
  <c r="E29" i="24"/>
  <c r="G29" i="24"/>
  <c r="E30" i="26"/>
  <c r="G30" i="26"/>
  <c r="G30" i="29"/>
  <c r="E30" i="29"/>
  <c r="H30" i="27"/>
  <c r="G27" i="29"/>
  <c r="E27" i="29"/>
  <c r="G44" i="29"/>
  <c r="E44" i="29"/>
  <c r="C38" i="32"/>
  <c r="G39" i="32"/>
  <c r="E39" i="32"/>
  <c r="G27" i="37"/>
  <c r="E27" i="37"/>
  <c r="E24" i="38"/>
  <c r="G24" i="38"/>
  <c r="E28" i="40"/>
  <c r="G28" i="40"/>
  <c r="G35" i="37"/>
  <c r="E35" i="37"/>
  <c r="E23" i="37"/>
  <c r="G23" i="37"/>
  <c r="H32" i="43"/>
  <c r="H34" i="40"/>
  <c r="G31" i="50"/>
  <c r="E31" i="50"/>
  <c r="H25" i="50"/>
  <c r="C36" i="50"/>
  <c r="E37" i="50"/>
  <c r="G37" i="50"/>
  <c r="I25" i="50"/>
  <c r="G27" i="51"/>
  <c r="E27" i="51"/>
  <c r="G28" i="51"/>
  <c r="E28" i="51"/>
  <c r="G21" i="51"/>
  <c r="G31" i="51"/>
  <c r="E31" i="51"/>
  <c r="G33" i="55"/>
  <c r="E33" i="55"/>
  <c r="E31" i="21"/>
  <c r="G31" i="21"/>
  <c r="G33" i="35"/>
  <c r="E33" i="35"/>
  <c r="E46" i="21"/>
  <c r="G46" i="21"/>
  <c r="E78" i="42"/>
  <c r="G78" i="42"/>
  <c r="G82" i="42"/>
  <c r="E82" i="42"/>
  <c r="C96" i="42"/>
  <c r="E97" i="42"/>
  <c r="G97" i="42"/>
  <c r="G93" i="42"/>
  <c r="E93" i="42"/>
  <c r="C47" i="29"/>
  <c r="G48" i="29"/>
  <c r="E48" i="29"/>
  <c r="G32" i="18"/>
  <c r="E32" i="18"/>
  <c r="C47" i="18"/>
  <c r="G48" i="18"/>
  <c r="E48" i="18"/>
  <c r="G27" i="18"/>
  <c r="E27" i="18"/>
  <c r="C26" i="27"/>
  <c r="E27" i="27"/>
  <c r="G27" i="27"/>
  <c r="G43" i="24"/>
  <c r="E43" i="24"/>
  <c r="G29" i="27"/>
  <c r="E29" i="27"/>
  <c r="H26" i="29"/>
  <c r="G46" i="29"/>
  <c r="E46" i="29"/>
  <c r="I34" i="29"/>
  <c r="G33" i="29"/>
  <c r="E33" i="29"/>
  <c r="G24" i="27"/>
  <c r="E24" i="27"/>
  <c r="H21" i="27"/>
  <c r="G36" i="29"/>
  <c r="E36" i="29"/>
  <c r="G37" i="29"/>
  <c r="E37" i="29"/>
  <c r="C25" i="37"/>
  <c r="G26" i="37"/>
  <c r="E26" i="37"/>
  <c r="H7" i="38"/>
  <c r="C33" i="37"/>
  <c r="G34" i="37"/>
  <c r="E34" i="37"/>
  <c r="H33" i="38"/>
  <c r="E36" i="40"/>
  <c r="G36" i="40"/>
  <c r="C37" i="37"/>
  <c r="E38" i="37"/>
  <c r="G38" i="37"/>
  <c r="H18" i="43"/>
  <c r="C35" i="48"/>
  <c r="E36" i="48"/>
  <c r="G36" i="48"/>
  <c r="I32" i="43"/>
  <c r="G25" i="47"/>
  <c r="E25" i="47"/>
  <c r="C26" i="47"/>
  <c r="E27" i="47"/>
  <c r="G27" i="47"/>
  <c r="G22" i="48"/>
  <c r="E22" i="48"/>
  <c r="E28" i="47"/>
  <c r="G28" i="47"/>
  <c r="G23" i="48"/>
  <c r="E23" i="48"/>
  <c r="E33" i="49"/>
  <c r="G33" i="49"/>
  <c r="G24" i="51"/>
  <c r="E24" i="51"/>
  <c r="G23" i="50"/>
  <c r="E23" i="50"/>
  <c r="G35" i="51"/>
  <c r="E35" i="51"/>
  <c r="G36" i="51"/>
  <c r="E36" i="51"/>
  <c r="G29" i="51"/>
  <c r="E29" i="51"/>
  <c r="G44" i="51"/>
  <c r="E44" i="51"/>
  <c r="G41" i="12"/>
  <c r="E41" i="12"/>
  <c r="E15" i="12"/>
  <c r="G15" i="12"/>
  <c r="C20" i="16"/>
  <c r="E21" i="16"/>
  <c r="G21" i="16"/>
  <c r="G21" i="10"/>
  <c r="E21" i="10"/>
  <c r="C20" i="35"/>
  <c r="E21" i="35"/>
  <c r="E25" i="12"/>
  <c r="G25" i="12"/>
  <c r="C29" i="12"/>
  <c r="E30" i="12"/>
  <c r="G30" i="12"/>
  <c r="I29" i="57"/>
  <c r="D21" i="54"/>
  <c r="F14" i="43"/>
  <c r="I80" i="42"/>
  <c r="H16" i="45"/>
  <c r="H21" i="57"/>
  <c r="C76" i="42"/>
  <c r="D25" i="43"/>
  <c r="F51" i="51"/>
  <c r="G16" i="42"/>
  <c r="E16" i="42"/>
  <c r="F32" i="55"/>
  <c r="F28" i="50"/>
  <c r="F20" i="50"/>
  <c r="F26" i="47"/>
  <c r="F40" i="47" s="1"/>
  <c r="F7" i="37"/>
  <c r="F28" i="20"/>
  <c r="G16" i="8"/>
  <c r="E16" i="8"/>
  <c r="G31" i="8"/>
  <c r="E31" i="8"/>
  <c r="F37" i="20"/>
  <c r="F34" i="29"/>
  <c r="D31" i="24"/>
  <c r="F35" i="48"/>
  <c r="H37" i="8"/>
  <c r="H41" i="8" s="1"/>
  <c r="C43" i="11"/>
  <c r="E44" i="11"/>
  <c r="G44" i="11"/>
  <c r="C27" i="13"/>
  <c r="E28" i="13"/>
  <c r="G28" i="13"/>
  <c r="G12" i="14"/>
  <c r="E12" i="14"/>
  <c r="G16" i="11"/>
  <c r="E16" i="11"/>
  <c r="E26" i="14"/>
  <c r="G26" i="14"/>
  <c r="I19" i="11"/>
  <c r="C13" i="14"/>
  <c r="G11" i="14"/>
  <c r="E11" i="14"/>
  <c r="E18" i="16"/>
  <c r="G18" i="16"/>
  <c r="C20" i="59"/>
  <c r="G12" i="55"/>
  <c r="E12" i="55"/>
  <c r="G14" i="55"/>
  <c r="E14" i="55"/>
  <c r="G11" i="55"/>
  <c r="E11" i="55"/>
  <c r="G16" i="55"/>
  <c r="E16" i="55"/>
  <c r="G16" i="54"/>
  <c r="E16" i="54"/>
  <c r="G17" i="21"/>
  <c r="E17" i="21"/>
  <c r="G23" i="16"/>
  <c r="E23" i="16"/>
  <c r="C32" i="10"/>
  <c r="E33" i="10"/>
  <c r="G33" i="10"/>
  <c r="E26" i="12"/>
  <c r="G26" i="12"/>
  <c r="F80" i="42"/>
  <c r="I76" i="42"/>
  <c r="G5" i="35"/>
  <c r="E5" i="35"/>
  <c r="D21" i="57"/>
  <c r="F33" i="38"/>
  <c r="D31" i="49"/>
  <c r="D17" i="38"/>
  <c r="D18" i="47"/>
  <c r="D33" i="38"/>
  <c r="F18" i="49"/>
  <c r="G15" i="8"/>
  <c r="E15" i="8"/>
  <c r="F52" i="24"/>
  <c r="G40" i="8"/>
  <c r="E40" i="8"/>
  <c r="H18" i="8"/>
  <c r="D25" i="38"/>
  <c r="F24" i="20"/>
  <c r="D24" i="14"/>
  <c r="D38" i="14" s="1"/>
  <c r="E32" i="11"/>
  <c r="G32" i="11"/>
  <c r="G18" i="11"/>
  <c r="E18" i="11"/>
  <c r="G15" i="13"/>
  <c r="E15" i="13"/>
  <c r="G19" i="16"/>
  <c r="E19" i="16"/>
  <c r="E31" i="13"/>
  <c r="G31" i="13"/>
  <c r="C30" i="11"/>
  <c r="E31" i="11"/>
  <c r="G31" i="11"/>
  <c r="C24" i="14"/>
  <c r="G25" i="14"/>
  <c r="E25" i="14"/>
  <c r="H24" i="14"/>
  <c r="I30" i="11"/>
  <c r="G27" i="14"/>
  <c r="E27" i="14"/>
  <c r="G27" i="12"/>
  <c r="E27" i="12"/>
  <c r="H22" i="13"/>
  <c r="G17" i="54"/>
  <c r="E17" i="54"/>
  <c r="E18" i="54"/>
  <c r="E20" i="55"/>
  <c r="E34" i="12"/>
  <c r="G34" i="12"/>
  <c r="G18" i="12"/>
  <c r="E18" i="12"/>
  <c r="G25" i="16"/>
  <c r="E25" i="16"/>
  <c r="G12" i="21"/>
  <c r="E12" i="21"/>
  <c r="G19" i="35"/>
  <c r="E19" i="35"/>
  <c r="E33" i="12"/>
  <c r="G33" i="12"/>
  <c r="C24" i="10"/>
  <c r="G25" i="10"/>
  <c r="E25" i="10"/>
  <c r="G20" i="21"/>
  <c r="E20" i="21"/>
  <c r="G13" i="21"/>
  <c r="E13" i="21"/>
  <c r="D37" i="13"/>
  <c r="G15" i="21"/>
  <c r="E15" i="21"/>
  <c r="G15" i="42"/>
  <c r="E15" i="42"/>
  <c r="D43" i="40"/>
  <c r="C21" i="45"/>
  <c r="F76" i="42"/>
  <c r="F92" i="42"/>
  <c r="F98" i="42" s="1"/>
  <c r="D28" i="55"/>
  <c r="F21" i="57"/>
  <c r="C16" i="57"/>
  <c r="G17" i="57"/>
  <c r="E17" i="57"/>
  <c r="G21" i="42"/>
  <c r="E21" i="42"/>
  <c r="G17" i="42"/>
  <c r="E17" i="42"/>
  <c r="G14" i="42"/>
  <c r="E14" i="42"/>
  <c r="H29" i="57"/>
  <c r="H33" i="57" s="1"/>
  <c r="D34" i="40"/>
  <c r="F16" i="45"/>
  <c r="D38" i="51"/>
  <c r="F18" i="47"/>
  <c r="D28" i="49"/>
  <c r="D18" i="32"/>
  <c r="D28" i="50"/>
  <c r="C29" i="8"/>
  <c r="G30" i="8"/>
  <c r="E30" i="8"/>
  <c r="C18" i="8"/>
  <c r="G14" i="8"/>
  <c r="E14" i="8"/>
  <c r="E26" i="8"/>
  <c r="G26" i="8"/>
  <c r="F19" i="26"/>
  <c r="D40" i="24"/>
  <c r="D46" i="20"/>
  <c r="C22" i="8"/>
  <c r="G23" i="8"/>
  <c r="E23" i="8"/>
  <c r="F17" i="14"/>
  <c r="G41" i="11"/>
  <c r="E41" i="11"/>
  <c r="E26" i="11"/>
  <c r="G26" i="11"/>
  <c r="G5" i="14"/>
  <c r="E5" i="14"/>
  <c r="G17" i="13"/>
  <c r="E17" i="13"/>
  <c r="C6" i="57"/>
  <c r="G6" i="55"/>
  <c r="E6" i="55"/>
  <c r="C6" i="59"/>
  <c r="G5" i="59"/>
  <c r="E5" i="59"/>
  <c r="G15" i="55"/>
  <c r="E15" i="55"/>
  <c r="G11" i="21"/>
  <c r="E11" i="21"/>
  <c r="C19" i="10"/>
  <c r="G20" i="10"/>
  <c r="E20" i="10"/>
  <c r="G19" i="21"/>
  <c r="E19" i="21"/>
  <c r="E23" i="10"/>
  <c r="G23" i="10"/>
  <c r="E29" i="16"/>
  <c r="G29" i="16"/>
  <c r="E42" i="12"/>
  <c r="G42" i="12"/>
  <c r="G32" i="12"/>
  <c r="E32" i="12"/>
  <c r="G16" i="12"/>
  <c r="E16" i="12"/>
  <c r="E19" i="45"/>
  <c r="G19" i="45"/>
  <c r="C12" i="57"/>
  <c r="G11" i="57"/>
  <c r="E11" i="57"/>
  <c r="G18" i="42"/>
  <c r="E18" i="42"/>
  <c r="D42" i="51"/>
  <c r="D65" i="51" s="1"/>
  <c r="D14" i="43"/>
  <c r="I83" i="42"/>
  <c r="F15" i="54"/>
  <c r="F32" i="54" s="1"/>
  <c r="D18" i="43"/>
  <c r="C23" i="45"/>
  <c r="C35" i="45" s="1"/>
  <c r="D48" i="55"/>
  <c r="D25" i="37"/>
  <c r="F20" i="48"/>
  <c r="F25" i="32"/>
  <c r="F25" i="37"/>
  <c r="D24" i="20"/>
  <c r="F24" i="14"/>
  <c r="F33" i="37"/>
  <c r="F39" i="37" s="1"/>
  <c r="D27" i="26"/>
  <c r="D22" i="8"/>
  <c r="F31" i="24"/>
  <c r="F33" i="20"/>
  <c r="C37" i="8"/>
  <c r="G38" i="8"/>
  <c r="E38" i="8"/>
  <c r="D26" i="29"/>
  <c r="G8" i="8"/>
  <c r="E8" i="8"/>
  <c r="C19" i="11"/>
  <c r="G14" i="11"/>
  <c r="E14" i="11"/>
  <c r="E27" i="11"/>
  <c r="G27" i="11"/>
  <c r="I29" i="13"/>
  <c r="G19" i="14"/>
  <c r="E19" i="14"/>
  <c r="H39" i="11"/>
  <c r="H45" i="11" s="1"/>
  <c r="I17" i="14"/>
  <c r="H32" i="14"/>
  <c r="G26" i="13"/>
  <c r="E26" i="13"/>
  <c r="E34" i="14"/>
  <c r="G34" i="14"/>
  <c r="C18" i="57"/>
  <c r="G17" i="55"/>
  <c r="E17" i="55"/>
  <c r="G29" i="10"/>
  <c r="E29" i="10"/>
  <c r="G27" i="10"/>
  <c r="E27" i="10"/>
  <c r="G40" i="12"/>
  <c r="E40" i="12"/>
  <c r="E14" i="12"/>
  <c r="G14" i="12"/>
  <c r="G22" i="21"/>
  <c r="E22" i="21"/>
  <c r="G17" i="12"/>
  <c r="E17" i="12"/>
  <c r="F24" i="31"/>
  <c r="G24" i="16"/>
  <c r="E24" i="16"/>
  <c r="G12" i="42"/>
  <c r="E12" i="42"/>
  <c r="F28" i="55"/>
  <c r="C29" i="57"/>
  <c r="C33" i="57" s="1"/>
  <c r="C21" i="57"/>
  <c r="D83" i="42"/>
  <c r="G22" i="42"/>
  <c r="E22" i="42"/>
  <c r="I23" i="45"/>
  <c r="I35" i="45" s="1"/>
  <c r="C83" i="42"/>
  <c r="G39" i="8"/>
  <c r="E39" i="8"/>
  <c r="G32" i="8"/>
  <c r="E32" i="8"/>
  <c r="D35" i="24"/>
  <c r="F35" i="26"/>
  <c r="G6" i="8"/>
  <c r="E6" i="8"/>
  <c r="F43" i="18"/>
  <c r="E33" i="11"/>
  <c r="G33" i="11"/>
  <c r="C23" i="11"/>
  <c r="G24" i="11"/>
  <c r="E24" i="11"/>
  <c r="E35" i="14"/>
  <c r="G35" i="14"/>
  <c r="C29" i="13"/>
  <c r="E30" i="13"/>
  <c r="G30" i="13"/>
  <c r="C21" i="14"/>
  <c r="G22" i="14"/>
  <c r="E22" i="14"/>
  <c r="C18" i="13"/>
  <c r="G14" i="13"/>
  <c r="E14" i="13"/>
  <c r="I32" i="14"/>
  <c r="C41" i="13"/>
  <c r="G42" i="13"/>
  <c r="E42" i="13"/>
  <c r="G18" i="55"/>
  <c r="E18" i="55"/>
  <c r="G19" i="55"/>
  <c r="E19" i="55"/>
  <c r="G13" i="55"/>
  <c r="E13" i="55"/>
  <c r="G19" i="12"/>
  <c r="E19" i="12"/>
  <c r="G18" i="21"/>
  <c r="E18" i="21"/>
  <c r="G16" i="35"/>
  <c r="E16" i="35"/>
  <c r="G20" i="42"/>
  <c r="E20" i="42"/>
  <c r="F42" i="51"/>
  <c r="E18" i="45"/>
  <c r="G18" i="45"/>
  <c r="C16" i="45"/>
  <c r="G17" i="45"/>
  <c r="E17" i="45"/>
  <c r="D31" i="45"/>
  <c r="F47" i="51"/>
  <c r="F27" i="40"/>
  <c r="F32" i="43"/>
  <c r="F35" i="43" s="1"/>
  <c r="F14" i="32"/>
  <c r="D20" i="50"/>
  <c r="G5" i="8"/>
  <c r="E5" i="8"/>
  <c r="F22" i="18"/>
  <c r="D28" i="20"/>
  <c r="D37" i="20"/>
  <c r="F29" i="8"/>
  <c r="F41" i="8" s="1"/>
  <c r="D34" i="32"/>
  <c r="D44" i="24"/>
  <c r="D58" i="24" s="1"/>
  <c r="G17" i="8"/>
  <c r="E17" i="8"/>
  <c r="D43" i="18"/>
  <c r="D7" i="37"/>
  <c r="E42" i="11"/>
  <c r="G42" i="11"/>
  <c r="G16" i="13"/>
  <c r="E16" i="13"/>
  <c r="G15" i="11"/>
  <c r="E15" i="11"/>
  <c r="G32" i="13"/>
  <c r="E32" i="13"/>
  <c r="C16" i="16"/>
  <c r="E17" i="16"/>
  <c r="G17" i="16"/>
  <c r="E24" i="13"/>
  <c r="G24" i="13"/>
  <c r="C17" i="14"/>
  <c r="G18" i="14"/>
  <c r="E18" i="14"/>
  <c r="I16" i="16"/>
  <c r="C11" i="59"/>
  <c r="G10" i="59"/>
  <c r="E10" i="59"/>
  <c r="G5" i="54"/>
  <c r="E5" i="54"/>
  <c r="G18" i="35"/>
  <c r="E18" i="35"/>
  <c r="F31" i="12"/>
  <c r="F18" i="13"/>
  <c r="E30" i="16"/>
  <c r="G30" i="16"/>
  <c r="G16" i="21"/>
  <c r="E16" i="21"/>
  <c r="G21" i="21"/>
  <c r="E21" i="21"/>
  <c r="G34" i="10"/>
  <c r="E34" i="10"/>
  <c r="F23" i="40"/>
  <c r="D23" i="40"/>
  <c r="H35" i="45"/>
  <c r="D15" i="54"/>
  <c r="C6" i="42"/>
  <c r="G5" i="42"/>
  <c r="E5" i="42"/>
  <c r="G23" i="42"/>
  <c r="G19" i="42"/>
  <c r="E19" i="42"/>
  <c r="D16" i="45"/>
  <c r="D32" i="55"/>
  <c r="D27" i="40"/>
  <c r="D29" i="57"/>
  <c r="D17" i="37"/>
  <c r="D39" i="37" s="1"/>
  <c r="F7" i="38"/>
  <c r="D14" i="32"/>
  <c r="D16" i="50"/>
  <c r="D34" i="47"/>
  <c r="F15" i="26"/>
  <c r="E25" i="8"/>
  <c r="G25" i="8"/>
  <c r="G24" i="8"/>
  <c r="E24" i="8"/>
  <c r="G9" i="8"/>
  <c r="E9" i="8"/>
  <c r="D35" i="26"/>
  <c r="D19" i="26"/>
  <c r="F21" i="14"/>
  <c r="D35" i="48"/>
  <c r="D43" i="29"/>
  <c r="D26" i="18"/>
  <c r="D29" i="8"/>
  <c r="D41" i="8" s="1"/>
  <c r="E17" i="11"/>
  <c r="G17" i="11"/>
  <c r="I22" i="13"/>
  <c r="I37" i="13"/>
  <c r="C6" i="16"/>
  <c r="G6" i="14"/>
  <c r="E6" i="14"/>
  <c r="E29" i="11"/>
  <c r="G29" i="11"/>
  <c r="H18" i="13"/>
  <c r="C22" i="13"/>
  <c r="E23" i="13"/>
  <c r="G23" i="13"/>
  <c r="E39" i="13"/>
  <c r="G39" i="13"/>
  <c r="I21" i="14"/>
  <c r="F16" i="16"/>
  <c r="G25" i="13"/>
  <c r="E25" i="13"/>
  <c r="H29" i="13"/>
  <c r="C32" i="14"/>
  <c r="G33" i="14"/>
  <c r="E33" i="14"/>
  <c r="C19" i="54"/>
  <c r="G19" i="54" s="1"/>
  <c r="E20" i="54"/>
  <c r="G5" i="55"/>
  <c r="E5" i="55"/>
  <c r="E28" i="12"/>
  <c r="G28" i="12"/>
  <c r="C43" i="12"/>
  <c r="E44" i="12"/>
  <c r="G44" i="12"/>
  <c r="C12" i="16"/>
  <c r="G11" i="16"/>
  <c r="E11" i="16"/>
  <c r="G14" i="21"/>
  <c r="E14" i="21"/>
  <c r="C15" i="10"/>
  <c r="G14" i="10"/>
  <c r="E14" i="10"/>
  <c r="F20" i="35"/>
  <c r="G22" i="10"/>
  <c r="E22" i="10"/>
  <c r="G17" i="35"/>
  <c r="E17" i="35"/>
  <c r="D23" i="45"/>
  <c r="G11" i="42"/>
  <c r="E11" i="42"/>
  <c r="G13" i="42"/>
  <c r="E13" i="42"/>
  <c r="F39" i="55"/>
  <c r="F54" i="55" s="1"/>
  <c r="D76" i="42"/>
  <c r="C92" i="42"/>
  <c r="I92" i="42"/>
  <c r="F31" i="45"/>
  <c r="F38" i="51"/>
  <c r="F29" i="57"/>
  <c r="F36" i="50"/>
  <c r="F17" i="37"/>
  <c r="F25" i="38"/>
  <c r="F39" i="38" s="1"/>
  <c r="F16" i="50"/>
  <c r="F18" i="32"/>
  <c r="E7" i="8"/>
  <c r="G7" i="8"/>
  <c r="F35" i="24"/>
  <c r="C27" i="8"/>
  <c r="E28" i="8"/>
  <c r="G28" i="8"/>
  <c r="D13" i="14"/>
  <c r="D34" i="18"/>
  <c r="D49" i="18" s="1"/>
  <c r="F31" i="29"/>
  <c r="F40" i="24"/>
  <c r="F34" i="18"/>
  <c r="I22" i="8"/>
  <c r="I41" i="8" s="1"/>
  <c r="F22" i="37"/>
  <c r="F31" i="18"/>
  <c r="G28" i="10"/>
  <c r="E28" i="10"/>
  <c r="C39" i="11"/>
  <c r="E40" i="11"/>
  <c r="G40" i="11"/>
  <c r="G25" i="11"/>
  <c r="E25" i="11"/>
  <c r="G20" i="14"/>
  <c r="E20" i="14"/>
  <c r="G23" i="14"/>
  <c r="E23" i="14"/>
  <c r="E38" i="13"/>
  <c r="G38" i="13"/>
  <c r="H21" i="14"/>
  <c r="D16" i="16"/>
  <c r="H19" i="11"/>
  <c r="G40" i="13"/>
  <c r="E40" i="13"/>
  <c r="H16" i="16"/>
  <c r="H31" i="16" s="1"/>
  <c r="I16" i="48"/>
  <c r="I27" i="48"/>
  <c r="I22" i="37"/>
  <c r="I46" i="20"/>
  <c r="I18" i="47"/>
  <c r="G11" i="18"/>
  <c r="E11" i="18"/>
  <c r="C6" i="24"/>
  <c r="G5" i="24"/>
  <c r="E5" i="24"/>
  <c r="C24" i="20"/>
  <c r="G11" i="20"/>
  <c r="E11" i="20"/>
  <c r="E18" i="24"/>
  <c r="G18" i="24"/>
  <c r="E20" i="24"/>
  <c r="G20" i="24"/>
  <c r="C15" i="26"/>
  <c r="E11" i="26"/>
  <c r="G11" i="26"/>
  <c r="I22" i="18"/>
  <c r="I19" i="26"/>
  <c r="E13" i="27"/>
  <c r="G13" i="27"/>
  <c r="C38" i="27"/>
  <c r="G14" i="40"/>
  <c r="E14" i="40"/>
  <c r="G15" i="40"/>
  <c r="E15" i="40"/>
  <c r="I18" i="32"/>
  <c r="I17" i="38"/>
  <c r="C33" i="38"/>
  <c r="G13" i="40"/>
  <c r="E13" i="40"/>
  <c r="G13" i="43"/>
  <c r="E13" i="43"/>
  <c r="I18" i="43"/>
  <c r="G15" i="48"/>
  <c r="E15" i="48"/>
  <c r="I27" i="40"/>
  <c r="C32" i="43"/>
  <c r="C38" i="51"/>
  <c r="G10" i="51"/>
  <c r="E10" i="51"/>
  <c r="C28" i="50"/>
  <c r="H37" i="13"/>
  <c r="I37" i="20"/>
  <c r="I7" i="37"/>
  <c r="G16" i="18"/>
  <c r="E16" i="18"/>
  <c r="G21" i="18"/>
  <c r="E21" i="18"/>
  <c r="G6" i="20"/>
  <c r="E6" i="20"/>
  <c r="E17" i="24"/>
  <c r="G17" i="24"/>
  <c r="E12" i="26"/>
  <c r="G12" i="26"/>
  <c r="H27" i="26"/>
  <c r="E14" i="24"/>
  <c r="G14" i="24"/>
  <c r="I21" i="27"/>
  <c r="G14" i="31"/>
  <c r="E14" i="31"/>
  <c r="I26" i="29"/>
  <c r="H17" i="27"/>
  <c r="H38" i="27"/>
  <c r="E18" i="31"/>
  <c r="G18" i="31"/>
  <c r="H35" i="26"/>
  <c r="G12" i="27"/>
  <c r="E12" i="27"/>
  <c r="H38" i="31"/>
  <c r="G22" i="40"/>
  <c r="E22" i="40"/>
  <c r="I38" i="31"/>
  <c r="H18" i="32"/>
  <c r="H34" i="32"/>
  <c r="E21" i="38"/>
  <c r="G6" i="38"/>
  <c r="E6" i="38"/>
  <c r="G20" i="32"/>
  <c r="E20" i="32"/>
  <c r="G21" i="40"/>
  <c r="E21" i="40"/>
  <c r="E20" i="49"/>
  <c r="C6" i="45"/>
  <c r="G6" i="43"/>
  <c r="E6" i="43"/>
  <c r="H27" i="40"/>
  <c r="E5" i="47"/>
  <c r="G5" i="47"/>
  <c r="G20" i="47"/>
  <c r="E20" i="47"/>
  <c r="C16" i="48"/>
  <c r="G13" i="48"/>
  <c r="E13" i="48"/>
  <c r="G18" i="51"/>
  <c r="E18" i="51"/>
  <c r="H36" i="50"/>
  <c r="H38" i="51"/>
  <c r="G14" i="51"/>
  <c r="E14" i="51"/>
  <c r="I24" i="20"/>
  <c r="G12" i="18"/>
  <c r="E12" i="18"/>
  <c r="H22" i="18"/>
  <c r="E16" i="24"/>
  <c r="G16" i="24"/>
  <c r="G14" i="20"/>
  <c r="E14" i="20"/>
  <c r="E11" i="24"/>
  <c r="G11" i="24"/>
  <c r="G16" i="20"/>
  <c r="E16" i="20"/>
  <c r="E14" i="26"/>
  <c r="G14" i="26"/>
  <c r="H31" i="18"/>
  <c r="I34" i="18"/>
  <c r="E21" i="26"/>
  <c r="G21" i="26"/>
  <c r="I43" i="29"/>
  <c r="G15" i="31"/>
  <c r="E15" i="31"/>
  <c r="C20" i="31"/>
  <c r="E11" i="31"/>
  <c r="G11" i="31"/>
  <c r="G10" i="29"/>
  <c r="E10" i="29"/>
  <c r="C6" i="32"/>
  <c r="G6" i="31"/>
  <c r="E6" i="31"/>
  <c r="G13" i="31"/>
  <c r="E13" i="31"/>
  <c r="H24" i="31"/>
  <c r="H39" i="37"/>
  <c r="G12" i="38"/>
  <c r="E12" i="38"/>
  <c r="E12" i="37"/>
  <c r="G12" i="37"/>
  <c r="C23" i="40"/>
  <c r="G10" i="40"/>
  <c r="E10" i="40"/>
  <c r="C7" i="38"/>
  <c r="G5" i="38"/>
  <c r="E5" i="38"/>
  <c r="H23" i="40"/>
  <c r="G13" i="32"/>
  <c r="E13" i="32"/>
  <c r="C22" i="38"/>
  <c r="I23" i="40"/>
  <c r="H25" i="38"/>
  <c r="H39" i="38" s="1"/>
  <c r="C17" i="38"/>
  <c r="G18" i="38"/>
  <c r="E18" i="38"/>
  <c r="G21" i="47"/>
  <c r="E21" i="47"/>
  <c r="F24" i="48"/>
  <c r="F41" i="48" s="1"/>
  <c r="E6" i="47"/>
  <c r="G6" i="47"/>
  <c r="C18" i="47"/>
  <c r="G19" i="47"/>
  <c r="E19" i="47"/>
  <c r="H31" i="49"/>
  <c r="H20" i="50"/>
  <c r="I31" i="49"/>
  <c r="I20" i="50"/>
  <c r="I38" i="51"/>
  <c r="G14" i="50"/>
  <c r="E14" i="50"/>
  <c r="I33" i="20"/>
  <c r="G19" i="18"/>
  <c r="E19" i="18"/>
  <c r="E15" i="24"/>
  <c r="G15" i="24"/>
  <c r="C5" i="21"/>
  <c r="G5" i="20"/>
  <c r="E5" i="20"/>
  <c r="E13" i="20"/>
  <c r="G13" i="20"/>
  <c r="E22" i="20"/>
  <c r="I17" i="27"/>
  <c r="E19" i="24"/>
  <c r="G19" i="24"/>
  <c r="C5" i="27"/>
  <c r="E5" i="26"/>
  <c r="G5" i="26"/>
  <c r="G5" i="18"/>
  <c r="E5" i="18"/>
  <c r="H46" i="20"/>
  <c r="H52" i="20" s="1"/>
  <c r="H19" i="26"/>
  <c r="C35" i="26"/>
  <c r="H31" i="29"/>
  <c r="G13" i="29"/>
  <c r="E13" i="29"/>
  <c r="G5" i="31"/>
  <c r="E5" i="31"/>
  <c r="G16" i="27"/>
  <c r="E16" i="27"/>
  <c r="G17" i="31"/>
  <c r="E17" i="31"/>
  <c r="H26" i="27"/>
  <c r="E17" i="29"/>
  <c r="G17" i="29"/>
  <c r="I38" i="27"/>
  <c r="E19" i="31"/>
  <c r="G19" i="31"/>
  <c r="E12" i="31"/>
  <c r="G12" i="31"/>
  <c r="G19" i="38"/>
  <c r="E19" i="38"/>
  <c r="G20" i="38"/>
  <c r="E20" i="38"/>
  <c r="C14" i="32"/>
  <c r="G11" i="32"/>
  <c r="E11" i="32"/>
  <c r="E17" i="40"/>
  <c r="G17" i="40"/>
  <c r="G12" i="32"/>
  <c r="E12" i="32"/>
  <c r="C25" i="38"/>
  <c r="E21" i="32"/>
  <c r="G21" i="32"/>
  <c r="C20" i="48"/>
  <c r="G21" i="48"/>
  <c r="E21" i="48"/>
  <c r="G20" i="43"/>
  <c r="E20" i="43"/>
  <c r="I24" i="48"/>
  <c r="H43" i="40"/>
  <c r="I43" i="40"/>
  <c r="C34" i="47"/>
  <c r="C27" i="48"/>
  <c r="C16" i="50"/>
  <c r="G13" i="50"/>
  <c r="E13" i="50"/>
  <c r="I44" i="24"/>
  <c r="I20" i="48"/>
  <c r="G17" i="18"/>
  <c r="E17" i="18"/>
  <c r="E22" i="26"/>
  <c r="G22" i="26"/>
  <c r="C17" i="27"/>
  <c r="G11" i="27"/>
  <c r="E11" i="27"/>
  <c r="G15" i="18"/>
  <c r="E15" i="18"/>
  <c r="G21" i="20"/>
  <c r="E21" i="20"/>
  <c r="C21" i="27"/>
  <c r="G13" i="24"/>
  <c r="E13" i="24"/>
  <c r="H52" i="24"/>
  <c r="I35" i="26"/>
  <c r="I41" i="26" s="1"/>
  <c r="G18" i="20"/>
  <c r="E18" i="20"/>
  <c r="C44" i="24"/>
  <c r="G21" i="29"/>
  <c r="E21" i="29"/>
  <c r="G16" i="31"/>
  <c r="E16" i="31"/>
  <c r="G12" i="29"/>
  <c r="E12" i="29"/>
  <c r="D23" i="47"/>
  <c r="E21" i="49"/>
  <c r="G5" i="43"/>
  <c r="E5" i="43"/>
  <c r="H16" i="48"/>
  <c r="H26" i="47"/>
  <c r="H40" i="47" s="1"/>
  <c r="H27" i="48"/>
  <c r="G11" i="51"/>
  <c r="E11" i="51"/>
  <c r="G12" i="51"/>
  <c r="E12" i="51"/>
  <c r="H51" i="51"/>
  <c r="H65" i="51" s="1"/>
  <c r="G15" i="51"/>
  <c r="E15" i="51"/>
  <c r="I40" i="24"/>
  <c r="I31" i="24"/>
  <c r="I26" i="47"/>
  <c r="I33" i="37"/>
  <c r="C34" i="18"/>
  <c r="C22" i="18"/>
  <c r="G10" i="18"/>
  <c r="E10" i="18"/>
  <c r="E12" i="20"/>
  <c r="G12" i="20"/>
  <c r="E14" i="27"/>
  <c r="G14" i="27"/>
  <c r="E15" i="27"/>
  <c r="G15" i="27"/>
  <c r="G15" i="20"/>
  <c r="E15" i="20"/>
  <c r="E13" i="26"/>
  <c r="G13" i="26"/>
  <c r="E21" i="24"/>
  <c r="C19" i="26"/>
  <c r="E20" i="26"/>
  <c r="G20" i="26"/>
  <c r="H24" i="20"/>
  <c r="H31" i="24"/>
  <c r="G14" i="29"/>
  <c r="E14" i="29"/>
  <c r="E16" i="29"/>
  <c r="G16" i="29"/>
  <c r="G18" i="29"/>
  <c r="E18" i="29"/>
  <c r="G11" i="29"/>
  <c r="E11" i="29"/>
  <c r="E6" i="26"/>
  <c r="G6" i="26"/>
  <c r="G20" i="29"/>
  <c r="E20" i="29"/>
  <c r="G22" i="32"/>
  <c r="E22" i="32"/>
  <c r="I14" i="32"/>
  <c r="I25" i="32"/>
  <c r="I40" i="32" s="1"/>
  <c r="G6" i="37"/>
  <c r="E6" i="37"/>
  <c r="E20" i="37"/>
  <c r="G20" i="37"/>
  <c r="G12" i="40"/>
  <c r="E12" i="40"/>
  <c r="E5" i="37"/>
  <c r="G5" i="37"/>
  <c r="I25" i="38"/>
  <c r="I14" i="43"/>
  <c r="I25" i="43"/>
  <c r="C22" i="49"/>
  <c r="I34" i="40"/>
  <c r="I18" i="49"/>
  <c r="E7" i="47"/>
  <c r="G7" i="47"/>
  <c r="G8" i="47"/>
  <c r="E8" i="47"/>
  <c r="C24" i="48"/>
  <c r="G15" i="50"/>
  <c r="E15" i="50"/>
  <c r="I40" i="50"/>
  <c r="H16" i="50"/>
  <c r="G19" i="51"/>
  <c r="E19" i="51"/>
  <c r="G20" i="51"/>
  <c r="E20" i="51"/>
  <c r="G13" i="51"/>
  <c r="E13" i="51"/>
  <c r="I51" i="51"/>
  <c r="I25" i="37"/>
  <c r="I52" i="24"/>
  <c r="I35" i="24"/>
  <c r="G13" i="18"/>
  <c r="E13" i="18"/>
  <c r="G20" i="18"/>
  <c r="E20" i="18"/>
  <c r="G19" i="20"/>
  <c r="E19" i="20"/>
  <c r="E14" i="18"/>
  <c r="G14" i="18"/>
  <c r="G20" i="20"/>
  <c r="E20" i="20"/>
  <c r="C43" i="18"/>
  <c r="H26" i="18"/>
  <c r="C46" i="20"/>
  <c r="I27" i="26"/>
  <c r="I20" i="31"/>
  <c r="E15" i="29"/>
  <c r="G15" i="29"/>
  <c r="G5" i="29"/>
  <c r="E5" i="29"/>
  <c r="C26" i="29"/>
  <c r="G19" i="29"/>
  <c r="E19" i="29"/>
  <c r="C43" i="29"/>
  <c r="H30" i="31"/>
  <c r="I30" i="31"/>
  <c r="H14" i="32"/>
  <c r="H25" i="32"/>
  <c r="C17" i="37"/>
  <c r="G18" i="37"/>
  <c r="E18" i="37"/>
  <c r="C6" i="40"/>
  <c r="G5" i="40"/>
  <c r="E5" i="40"/>
  <c r="E19" i="37"/>
  <c r="G19" i="37"/>
  <c r="I13" i="38"/>
  <c r="C27" i="40"/>
  <c r="I33" i="38"/>
  <c r="G11" i="40"/>
  <c r="E11" i="40"/>
  <c r="G20" i="40"/>
  <c r="E20" i="40"/>
  <c r="C22" i="37"/>
  <c r="H35" i="43"/>
  <c r="G14" i="48"/>
  <c r="E14" i="48"/>
  <c r="F23" i="47"/>
  <c r="I23" i="47"/>
  <c r="H41" i="48"/>
  <c r="G16" i="51"/>
  <c r="E16" i="51"/>
  <c r="C6" i="51"/>
  <c r="G5" i="51"/>
  <c r="E5" i="51"/>
  <c r="E21" i="51"/>
  <c r="I13" i="37"/>
  <c r="I28" i="20"/>
  <c r="G18" i="18"/>
  <c r="E18" i="18"/>
  <c r="C31" i="24"/>
  <c r="E10" i="24"/>
  <c r="G10" i="24"/>
  <c r="E12" i="24"/>
  <c r="G12" i="24"/>
  <c r="H44" i="24"/>
  <c r="H43" i="18"/>
  <c r="G17" i="20"/>
  <c r="E17" i="20"/>
  <c r="H15" i="26"/>
  <c r="H24" i="26"/>
  <c r="H41" i="26" s="1"/>
  <c r="C13" i="37"/>
  <c r="E11" i="37"/>
  <c r="G11" i="37"/>
  <c r="G16" i="40"/>
  <c r="E16" i="40"/>
  <c r="C18" i="32"/>
  <c r="G19" i="32"/>
  <c r="E19" i="32"/>
  <c r="G18" i="40"/>
  <c r="E18" i="40"/>
  <c r="G19" i="40"/>
  <c r="E19" i="40"/>
  <c r="C13" i="38"/>
  <c r="G11" i="38"/>
  <c r="E11" i="38"/>
  <c r="D24" i="48"/>
  <c r="C14" i="43"/>
  <c r="G11" i="43"/>
  <c r="E11" i="43"/>
  <c r="C18" i="43"/>
  <c r="G19" i="43"/>
  <c r="E19" i="43"/>
  <c r="G12" i="43"/>
  <c r="E12" i="43"/>
  <c r="C18" i="49"/>
  <c r="G19" i="49"/>
  <c r="E19" i="49"/>
  <c r="E17" i="51"/>
  <c r="G17" i="51"/>
  <c r="C20" i="50"/>
  <c r="G21" i="50"/>
  <c r="E21" i="50"/>
  <c r="H21" i="54"/>
  <c r="H32" i="54" s="1"/>
  <c r="H28" i="55"/>
  <c r="I36" i="55"/>
  <c r="H32" i="55"/>
  <c r="H48" i="55"/>
  <c r="C36" i="55"/>
  <c r="C21" i="54"/>
  <c r="G21" i="54" s="1"/>
  <c r="I28" i="55"/>
  <c r="I32" i="55"/>
  <c r="I48" i="55"/>
  <c r="H27" i="59"/>
  <c r="C39" i="55"/>
  <c r="I15" i="54"/>
  <c r="C48" i="55"/>
  <c r="F38" i="27"/>
  <c r="H20" i="12"/>
  <c r="H39" i="12"/>
  <c r="H45" i="12" s="1"/>
  <c r="H22" i="16"/>
  <c r="C22" i="16"/>
  <c r="H27" i="21"/>
  <c r="I23" i="35"/>
  <c r="I24" i="12"/>
  <c r="F27" i="59"/>
  <c r="D20" i="59"/>
  <c r="H15" i="54"/>
  <c r="I59" i="51"/>
  <c r="I65" i="51" s="1"/>
  <c r="F19" i="10"/>
  <c r="D20" i="12"/>
  <c r="F22" i="16"/>
  <c r="F31" i="16" s="1"/>
  <c r="F29" i="13"/>
  <c r="I39" i="12"/>
  <c r="D30" i="27"/>
  <c r="D23" i="35"/>
  <c r="F22" i="59"/>
  <c r="D40" i="50"/>
  <c r="I20" i="59"/>
  <c r="F23" i="1"/>
  <c r="F30" i="11"/>
  <c r="F23" i="21"/>
  <c r="C23" i="21"/>
  <c r="I31" i="12"/>
  <c r="C28" i="16"/>
  <c r="C32" i="21"/>
  <c r="C27" i="21"/>
  <c r="D38" i="31"/>
  <c r="D27" i="21"/>
  <c r="C31" i="12"/>
  <c r="I31" i="35"/>
  <c r="D23" i="11"/>
  <c r="D45" i="11" s="1"/>
  <c r="I20" i="12"/>
  <c r="I23" i="21"/>
  <c r="D54" i="55"/>
  <c r="D98" i="42"/>
  <c r="I22" i="59"/>
  <c r="H39" i="55"/>
  <c r="I39" i="55"/>
  <c r="I54" i="55" s="1"/>
  <c r="H23" i="1"/>
  <c r="I31" i="16"/>
  <c r="C26" i="10"/>
  <c r="C39" i="12"/>
  <c r="F23" i="35"/>
  <c r="F19" i="11"/>
  <c r="C20" i="12"/>
  <c r="D35" i="21"/>
  <c r="D32" i="10"/>
  <c r="D37" i="10" s="1"/>
  <c r="F24" i="12"/>
  <c r="I19" i="10"/>
  <c r="I37" i="10" s="1"/>
  <c r="H32" i="21"/>
  <c r="H47" i="21" s="1"/>
  <c r="F39" i="11"/>
  <c r="D18" i="13"/>
  <c r="D31" i="35"/>
  <c r="D27" i="59"/>
  <c r="D33" i="57"/>
  <c r="H22" i="59"/>
  <c r="I24" i="59"/>
  <c r="I21" i="54"/>
  <c r="C15" i="54"/>
  <c r="I23" i="1"/>
  <c r="C47" i="21"/>
  <c r="D20" i="31"/>
  <c r="F37" i="13"/>
  <c r="C31" i="35"/>
  <c r="F27" i="21"/>
  <c r="D26" i="27"/>
  <c r="F26" i="27"/>
  <c r="I22" i="16"/>
  <c r="D30" i="31"/>
  <c r="H26" i="10"/>
  <c r="H37" i="10" s="1"/>
  <c r="I32" i="21"/>
  <c r="I47" i="21" s="1"/>
  <c r="D24" i="31"/>
  <c r="C15" i="35"/>
  <c r="F20" i="59"/>
  <c r="F33" i="57"/>
  <c r="D45" i="12"/>
  <c r="D19" i="11"/>
  <c r="D15" i="35"/>
  <c r="F45" i="12"/>
  <c r="D32" i="21"/>
  <c r="I33" i="57"/>
  <c r="F40" i="32"/>
  <c r="H24" i="59"/>
  <c r="I27" i="59"/>
  <c r="F32" i="10"/>
  <c r="F20" i="12"/>
  <c r="H38" i="35"/>
  <c r="H31" i="12"/>
  <c r="H23" i="21"/>
  <c r="D22" i="13"/>
  <c r="D43" i="13" s="1"/>
  <c r="F30" i="27"/>
  <c r="F65" i="51"/>
  <c r="D22" i="59"/>
  <c r="I98" i="42"/>
  <c r="D41" i="48"/>
  <c r="C32" i="55"/>
  <c r="D23" i="1"/>
  <c r="F47" i="21"/>
  <c r="F20" i="31"/>
  <c r="F23" i="11"/>
  <c r="F45" i="11" s="1"/>
  <c r="D22" i="16"/>
  <c r="F15" i="35"/>
  <c r="F38" i="35" s="1"/>
  <c r="C24" i="12"/>
  <c r="F30" i="31"/>
  <c r="F44" i="31" s="1"/>
  <c r="D35" i="45"/>
  <c r="D40" i="32"/>
  <c r="C7" i="55"/>
  <c r="C10" i="54"/>
  <c r="C6" i="54"/>
  <c r="H10" i="54"/>
  <c r="H11" i="54" s="1"/>
  <c r="H6" i="54"/>
  <c r="I10" i="54"/>
  <c r="I11" i="54" s="1"/>
  <c r="I6" i="54"/>
  <c r="E8" i="1"/>
  <c r="G8" i="1"/>
  <c r="E9" i="1"/>
  <c r="G9" i="1"/>
  <c r="E18" i="1"/>
  <c r="G18" i="1"/>
  <c r="E20" i="1"/>
  <c r="G20" i="1"/>
  <c r="G13" i="1"/>
  <c r="E13" i="1"/>
  <c r="G6" i="1"/>
  <c r="E6" i="1"/>
  <c r="E7" i="1"/>
  <c r="G7" i="1"/>
  <c r="G16" i="1"/>
  <c r="E16" i="1"/>
  <c r="G17" i="1"/>
  <c r="E17" i="1"/>
  <c r="G21" i="1"/>
  <c r="E21" i="1"/>
  <c r="E14" i="1"/>
  <c r="G14" i="1"/>
  <c r="E15" i="1"/>
  <c r="G15" i="1"/>
  <c r="G22" i="1"/>
  <c r="E22" i="1"/>
  <c r="E11" i="1"/>
  <c r="G11" i="1"/>
  <c r="G10" i="1"/>
  <c r="E10" i="1"/>
  <c r="E19" i="1"/>
  <c r="G19" i="1"/>
  <c r="E12" i="1"/>
  <c r="G12" i="1"/>
  <c r="G5" i="1"/>
  <c r="E5" i="1"/>
  <c r="D23" i="21"/>
  <c r="D10" i="35"/>
  <c r="D11" i="35" s="1"/>
  <c r="D6" i="35"/>
  <c r="H6" i="35"/>
  <c r="H10" i="35"/>
  <c r="H11" i="35" s="1"/>
  <c r="I10" i="35"/>
  <c r="I11" i="35" s="1"/>
  <c r="I6" i="35"/>
  <c r="F5" i="32"/>
  <c r="F7" i="32" s="1"/>
  <c r="F7" i="31"/>
  <c r="F6" i="35"/>
  <c r="F10" i="35"/>
  <c r="F11" i="35" s="1"/>
  <c r="D17" i="27"/>
  <c r="D5" i="32"/>
  <c r="D7" i="32" s="1"/>
  <c r="D7" i="31"/>
  <c r="F7" i="43"/>
  <c r="F5" i="45"/>
  <c r="F7" i="45" s="1"/>
  <c r="D7" i="55"/>
  <c r="D5" i="57"/>
  <c r="D7" i="57" s="1"/>
  <c r="D38" i="40"/>
  <c r="C10" i="35"/>
  <c r="C6" i="35"/>
  <c r="D40" i="40"/>
  <c r="F38" i="40"/>
  <c r="C10" i="42"/>
  <c r="C72" i="42"/>
  <c r="F40" i="40"/>
  <c r="D72" i="42"/>
  <c r="D10" i="42"/>
  <c r="I72" i="42"/>
  <c r="I10" i="42"/>
  <c r="H72" i="42"/>
  <c r="H10" i="42"/>
  <c r="D29" i="55"/>
  <c r="F5" i="57"/>
  <c r="F7" i="57" s="1"/>
  <c r="F7" i="55"/>
  <c r="D7" i="43"/>
  <c r="D5" i="45"/>
  <c r="D7" i="45" s="1"/>
  <c r="F6" i="54"/>
  <c r="F10" i="54"/>
  <c r="F11" i="54" s="1"/>
  <c r="D6" i="54"/>
  <c r="D10" i="54"/>
  <c r="D11" i="54" s="1"/>
  <c r="F10" i="42"/>
  <c r="F72" i="42"/>
  <c r="D6" i="29"/>
  <c r="F6" i="48"/>
  <c r="F6" i="50"/>
  <c r="F6" i="49"/>
  <c r="D35" i="49"/>
  <c r="D37" i="49" s="1"/>
  <c r="F35" i="49"/>
  <c r="F37" i="49" s="1"/>
  <c r="D8" i="49"/>
  <c r="D8" i="50"/>
  <c r="D8" i="48"/>
  <c r="D13" i="47"/>
  <c r="D14" i="47" s="1"/>
  <c r="D9" i="47"/>
  <c r="D5" i="48"/>
  <c r="D5" i="50"/>
  <c r="D5" i="49"/>
  <c r="F7" i="50"/>
  <c r="F7" i="49"/>
  <c r="F7" i="48"/>
  <c r="D6" i="49"/>
  <c r="D6" i="48"/>
  <c r="D6" i="50"/>
  <c r="F8" i="48"/>
  <c r="F8" i="50"/>
  <c r="F8" i="49"/>
  <c r="D6" i="21"/>
  <c r="F5" i="16"/>
  <c r="F7" i="16" s="1"/>
  <c r="F7" i="14"/>
  <c r="F6" i="13"/>
  <c r="F6" i="11"/>
  <c r="F6" i="10"/>
  <c r="F6" i="12"/>
  <c r="C7" i="13"/>
  <c r="C7" i="12"/>
  <c r="C7" i="11"/>
  <c r="I6" i="10"/>
  <c r="I6" i="13"/>
  <c r="I6" i="11"/>
  <c r="I6" i="12"/>
  <c r="I5" i="13"/>
  <c r="I5" i="11"/>
  <c r="I5" i="10"/>
  <c r="I5" i="12"/>
  <c r="I10" i="8"/>
  <c r="D47" i="29"/>
  <c r="D22" i="29"/>
  <c r="C5" i="11"/>
  <c r="C5" i="13"/>
  <c r="C5" i="12"/>
  <c r="C5" i="10"/>
  <c r="C10" i="8"/>
  <c r="D6" i="12"/>
  <c r="D6" i="13"/>
  <c r="D6" i="10"/>
  <c r="D6" i="11"/>
  <c r="H6" i="10"/>
  <c r="H6" i="12"/>
  <c r="H6" i="13"/>
  <c r="H6" i="11"/>
  <c r="H5" i="12"/>
  <c r="H5" i="13"/>
  <c r="H5" i="11"/>
  <c r="H5" i="10"/>
  <c r="H10" i="8"/>
  <c r="I7" i="13"/>
  <c r="I7" i="11"/>
  <c r="I7" i="12"/>
  <c r="I7" i="10"/>
  <c r="C9" i="11"/>
  <c r="C9" i="12"/>
  <c r="C9" i="13"/>
  <c r="D7" i="14"/>
  <c r="D5" i="16"/>
  <c r="D7" i="16" s="1"/>
  <c r="D15" i="26"/>
  <c r="H7" i="10"/>
  <c r="H7" i="12"/>
  <c r="H7" i="13"/>
  <c r="H7" i="11"/>
  <c r="F7" i="10"/>
  <c r="F7" i="11"/>
  <c r="F7" i="12"/>
  <c r="F7" i="13"/>
  <c r="I8" i="10"/>
  <c r="I8" i="13"/>
  <c r="I8" i="11"/>
  <c r="I8" i="12"/>
  <c r="D7" i="10"/>
  <c r="D7" i="11"/>
  <c r="D7" i="12"/>
  <c r="D7" i="13"/>
  <c r="H8" i="10"/>
  <c r="H8" i="12"/>
  <c r="H8" i="13"/>
  <c r="H8" i="11"/>
  <c r="I9" i="12"/>
  <c r="I9" i="10"/>
  <c r="I9" i="13"/>
  <c r="I9" i="11"/>
  <c r="F7" i="26"/>
  <c r="F5" i="27"/>
  <c r="F7" i="27" s="1"/>
  <c r="F5" i="11"/>
  <c r="F5" i="12"/>
  <c r="F10" i="8"/>
  <c r="F5" i="13"/>
  <c r="F5" i="10"/>
  <c r="H9" i="10"/>
  <c r="H9" i="12"/>
  <c r="H9" i="13"/>
  <c r="H9" i="11"/>
  <c r="F9" i="11"/>
  <c r="F9" i="12"/>
  <c r="F9" i="13"/>
  <c r="F9" i="10"/>
  <c r="C6" i="12"/>
  <c r="C6" i="11"/>
  <c r="C6" i="10"/>
  <c r="C6" i="13"/>
  <c r="D8" i="12"/>
  <c r="D8" i="13"/>
  <c r="D8" i="10"/>
  <c r="D8" i="11"/>
  <c r="F8" i="13"/>
  <c r="F8" i="10"/>
  <c r="F8" i="11"/>
  <c r="F8" i="12"/>
  <c r="D5" i="13"/>
  <c r="D5" i="10"/>
  <c r="D5" i="12"/>
  <c r="D5" i="11"/>
  <c r="D10" i="8"/>
  <c r="D7" i="48"/>
  <c r="D7" i="50"/>
  <c r="D7" i="49"/>
  <c r="D13" i="49" s="1"/>
  <c r="D14" i="49" s="1"/>
  <c r="F6" i="21"/>
  <c r="F22" i="29"/>
  <c r="D9" i="11"/>
  <c r="D9" i="12"/>
  <c r="D9" i="13"/>
  <c r="D9" i="10"/>
  <c r="F5" i="49"/>
  <c r="F13" i="47"/>
  <c r="F14" i="47" s="1"/>
  <c r="F9" i="47"/>
  <c r="F5" i="50"/>
  <c r="F5" i="48"/>
  <c r="F47" i="29"/>
  <c r="F49" i="29" s="1"/>
  <c r="D7" i="26"/>
  <c r="D5" i="27"/>
  <c r="D7" i="27" s="1"/>
  <c r="C8" i="13"/>
  <c r="C8" i="10"/>
  <c r="C8" i="12"/>
  <c r="C8" i="11"/>
  <c r="C5" i="16"/>
  <c r="C7" i="14"/>
  <c r="H5" i="16"/>
  <c r="H7" i="16" s="1"/>
  <c r="H7" i="14"/>
  <c r="I7" i="14"/>
  <c r="I5" i="16"/>
  <c r="I7" i="16" s="1"/>
  <c r="I6" i="21"/>
  <c r="I7" i="26"/>
  <c r="I5" i="27"/>
  <c r="I7" i="27" s="1"/>
  <c r="C6" i="21"/>
  <c r="C6" i="18"/>
  <c r="H6" i="21"/>
  <c r="H7" i="26"/>
  <c r="H5" i="27"/>
  <c r="H7" i="27" s="1"/>
  <c r="H7" i="31"/>
  <c r="H5" i="32"/>
  <c r="H7" i="32" s="1"/>
  <c r="H22" i="29"/>
  <c r="I7" i="31"/>
  <c r="I5" i="32"/>
  <c r="I7" i="32" s="1"/>
  <c r="I22" i="29"/>
  <c r="C5" i="32"/>
  <c r="C7" i="31"/>
  <c r="C22" i="29"/>
  <c r="C6" i="29"/>
  <c r="C7" i="26"/>
  <c r="C6" i="27"/>
  <c r="C7" i="37"/>
  <c r="I5" i="50"/>
  <c r="I5" i="49"/>
  <c r="I5" i="48"/>
  <c r="I9" i="47"/>
  <c r="I13" i="47"/>
  <c r="I14" i="47" s="1"/>
  <c r="I6" i="50"/>
  <c r="I6" i="49"/>
  <c r="I6" i="48"/>
  <c r="I7" i="50"/>
  <c r="I7" i="49"/>
  <c r="I13" i="49" s="1"/>
  <c r="I14" i="49" s="1"/>
  <c r="I7" i="48"/>
  <c r="I8" i="50"/>
  <c r="I8" i="49"/>
  <c r="I8" i="48"/>
  <c r="H5" i="45"/>
  <c r="H7" i="45" s="1"/>
  <c r="H7" i="43"/>
  <c r="C7" i="43"/>
  <c r="I5" i="45"/>
  <c r="I7" i="45" s="1"/>
  <c r="I7" i="43"/>
  <c r="C13" i="47"/>
  <c r="C5" i="49"/>
  <c r="C5" i="48"/>
  <c r="C9" i="47"/>
  <c r="C5" i="50"/>
  <c r="C6" i="48"/>
  <c r="C6" i="50"/>
  <c r="C6" i="49"/>
  <c r="C7" i="49"/>
  <c r="C7" i="50"/>
  <c r="C7" i="48"/>
  <c r="C8" i="49"/>
  <c r="C8" i="48"/>
  <c r="C8" i="50"/>
  <c r="H5" i="50"/>
  <c r="H5" i="49"/>
  <c r="H5" i="48"/>
  <c r="H9" i="47"/>
  <c r="H13" i="47"/>
  <c r="H14" i="47" s="1"/>
  <c r="H6" i="50"/>
  <c r="H6" i="49"/>
  <c r="H6" i="48"/>
  <c r="H7" i="50"/>
  <c r="H7" i="49"/>
  <c r="H13" i="49" s="1"/>
  <c r="H14" i="49" s="1"/>
  <c r="H7" i="48"/>
  <c r="H8" i="50"/>
  <c r="H8" i="49"/>
  <c r="H8" i="48"/>
  <c r="H7" i="55"/>
  <c r="H5" i="57"/>
  <c r="H7" i="57" s="1"/>
  <c r="I7" i="55"/>
  <c r="I5" i="57"/>
  <c r="I7" i="57" s="1"/>
  <c r="I40" i="47" l="1"/>
  <c r="D31" i="16"/>
  <c r="D47" i="21"/>
  <c r="D44" i="27"/>
  <c r="I32" i="54"/>
  <c r="C44" i="31"/>
  <c r="G44" i="31" s="1"/>
  <c r="I39" i="38"/>
  <c r="F37" i="10"/>
  <c r="I58" i="24"/>
  <c r="F38" i="14"/>
  <c r="H43" i="13"/>
  <c r="H38" i="14"/>
  <c r="C40" i="50"/>
  <c r="E40" i="50" s="1"/>
  <c r="I35" i="43"/>
  <c r="D35" i="43"/>
  <c r="D49" i="29"/>
  <c r="H54" i="55"/>
  <c r="I38" i="35"/>
  <c r="F52" i="20"/>
  <c r="G28" i="55"/>
  <c r="E28" i="55"/>
  <c r="E17" i="59"/>
  <c r="G17" i="59"/>
  <c r="C49" i="40"/>
  <c r="C51" i="40" s="1"/>
  <c r="E27" i="40"/>
  <c r="G27" i="40"/>
  <c r="I44" i="31"/>
  <c r="G21" i="27"/>
  <c r="E21" i="27"/>
  <c r="H40" i="32"/>
  <c r="G24" i="20"/>
  <c r="E24" i="20"/>
  <c r="G21" i="45"/>
  <c r="E21" i="45"/>
  <c r="D39" i="38"/>
  <c r="D32" i="54"/>
  <c r="G33" i="37"/>
  <c r="E33" i="37"/>
  <c r="G25" i="37"/>
  <c r="E25" i="37"/>
  <c r="E47" i="18"/>
  <c r="G47" i="18"/>
  <c r="G35" i="21"/>
  <c r="E35" i="21"/>
  <c r="E40" i="24"/>
  <c r="G40" i="24"/>
  <c r="G23" i="35"/>
  <c r="E23" i="35"/>
  <c r="E27" i="45"/>
  <c r="G27" i="45"/>
  <c r="G39" i="26"/>
  <c r="E39" i="26"/>
  <c r="G59" i="51"/>
  <c r="E59" i="51"/>
  <c r="G63" i="51"/>
  <c r="E63" i="51"/>
  <c r="E25" i="43"/>
  <c r="G25" i="43"/>
  <c r="G72" i="42"/>
  <c r="E72" i="42"/>
  <c r="C38" i="35"/>
  <c r="G31" i="35"/>
  <c r="E31" i="35"/>
  <c r="C24" i="59"/>
  <c r="E25" i="59"/>
  <c r="G25" i="59"/>
  <c r="G26" i="18"/>
  <c r="E26" i="18"/>
  <c r="E22" i="37"/>
  <c r="G22" i="37"/>
  <c r="G44" i="24"/>
  <c r="E44" i="24"/>
  <c r="C58" i="24"/>
  <c r="F49" i="18"/>
  <c r="G23" i="45"/>
  <c r="E23" i="45"/>
  <c r="E26" i="47"/>
  <c r="G26" i="47"/>
  <c r="G35" i="49"/>
  <c r="E35" i="49"/>
  <c r="G28" i="49"/>
  <c r="E28" i="49"/>
  <c r="E43" i="40"/>
  <c r="G43" i="40"/>
  <c r="G28" i="31"/>
  <c r="E28" i="31"/>
  <c r="E40" i="40"/>
  <c r="G40" i="40"/>
  <c r="E36" i="35"/>
  <c r="G36" i="35"/>
  <c r="E26" i="59"/>
  <c r="G26" i="59"/>
  <c r="G39" i="55"/>
  <c r="E39" i="55"/>
  <c r="C65" i="51"/>
  <c r="E42" i="51"/>
  <c r="G42" i="51"/>
  <c r="G25" i="38"/>
  <c r="E25" i="38"/>
  <c r="G23" i="40"/>
  <c r="E23" i="40"/>
  <c r="G76" i="42"/>
  <c r="E76" i="42"/>
  <c r="F7" i="21"/>
  <c r="G47" i="51"/>
  <c r="E47" i="51"/>
  <c r="G34" i="29"/>
  <c r="E34" i="29"/>
  <c r="G52" i="24"/>
  <c r="E52" i="24"/>
  <c r="G28" i="20"/>
  <c r="E28" i="20"/>
  <c r="E34" i="40"/>
  <c r="G34" i="40"/>
  <c r="E24" i="31"/>
  <c r="G24" i="31"/>
  <c r="C54" i="55"/>
  <c r="G32" i="55"/>
  <c r="E32" i="55"/>
  <c r="C49" i="29"/>
  <c r="G43" i="29"/>
  <c r="E43" i="29"/>
  <c r="C37" i="49"/>
  <c r="G22" i="49"/>
  <c r="E22" i="49"/>
  <c r="C39" i="38"/>
  <c r="G33" i="38"/>
  <c r="E33" i="38"/>
  <c r="G83" i="42"/>
  <c r="E83" i="42"/>
  <c r="G18" i="57"/>
  <c r="E18" i="57"/>
  <c r="E20" i="59"/>
  <c r="G20" i="59"/>
  <c r="G26" i="27"/>
  <c r="E26" i="27"/>
  <c r="E31" i="18"/>
  <c r="G31" i="18"/>
  <c r="E96" i="42"/>
  <c r="G96" i="42"/>
  <c r="G23" i="32"/>
  <c r="E23" i="32"/>
  <c r="G35" i="24"/>
  <c r="E35" i="24"/>
  <c r="G25" i="32"/>
  <c r="E25" i="32"/>
  <c r="G42" i="31"/>
  <c r="E42" i="31"/>
  <c r="E33" i="20"/>
  <c r="G33" i="20"/>
  <c r="E80" i="42"/>
  <c r="G80" i="42"/>
  <c r="G51" i="51"/>
  <c r="E51" i="51"/>
  <c r="G39" i="48"/>
  <c r="E39" i="48"/>
  <c r="E47" i="21"/>
  <c r="G47" i="21"/>
  <c r="G23" i="59"/>
  <c r="E23" i="59"/>
  <c r="G33" i="57"/>
  <c r="E33" i="57"/>
  <c r="G27" i="21"/>
  <c r="E27" i="21"/>
  <c r="G48" i="55"/>
  <c r="E48" i="55"/>
  <c r="E18" i="59"/>
  <c r="G18" i="59"/>
  <c r="C41" i="48"/>
  <c r="G24" i="48"/>
  <c r="E24" i="48"/>
  <c r="I49" i="18"/>
  <c r="G21" i="57"/>
  <c r="E21" i="57"/>
  <c r="E36" i="50"/>
  <c r="G36" i="50"/>
  <c r="D7" i="21"/>
  <c r="G30" i="27"/>
  <c r="E30" i="27"/>
  <c r="E30" i="31"/>
  <c r="G30" i="31"/>
  <c r="E38" i="31"/>
  <c r="G38" i="31"/>
  <c r="G37" i="20"/>
  <c r="E37" i="20"/>
  <c r="E35" i="45"/>
  <c r="C27" i="59"/>
  <c r="E28" i="59"/>
  <c r="G28" i="59"/>
  <c r="E19" i="59"/>
  <c r="G19" i="59"/>
  <c r="E32" i="21"/>
  <c r="G32" i="21"/>
  <c r="C52" i="20"/>
  <c r="G46" i="20"/>
  <c r="E46" i="20"/>
  <c r="G43" i="18"/>
  <c r="E43" i="18"/>
  <c r="C49" i="18"/>
  <c r="E34" i="18"/>
  <c r="G34" i="18"/>
  <c r="E28" i="50"/>
  <c r="G28" i="50"/>
  <c r="C35" i="43"/>
  <c r="E32" i="43"/>
  <c r="G32" i="43"/>
  <c r="I39" i="37"/>
  <c r="I43" i="13"/>
  <c r="G29" i="57"/>
  <c r="E29" i="57"/>
  <c r="E23" i="43"/>
  <c r="G23" i="43"/>
  <c r="G43" i="21"/>
  <c r="E43" i="21"/>
  <c r="G25" i="50"/>
  <c r="E25" i="50"/>
  <c r="E56" i="24"/>
  <c r="G56" i="24"/>
  <c r="G21" i="59"/>
  <c r="G23" i="47"/>
  <c r="E23" i="47"/>
  <c r="G31" i="49"/>
  <c r="E31" i="49"/>
  <c r="E32" i="40"/>
  <c r="G32" i="40"/>
  <c r="E16" i="59"/>
  <c r="G16" i="59"/>
  <c r="G36" i="55"/>
  <c r="E36" i="55"/>
  <c r="G31" i="24"/>
  <c r="E31" i="24"/>
  <c r="G26" i="29"/>
  <c r="E26" i="29"/>
  <c r="H49" i="18"/>
  <c r="E27" i="48"/>
  <c r="G27" i="48"/>
  <c r="I44" i="27"/>
  <c r="C7" i="21"/>
  <c r="E22" i="38"/>
  <c r="G22" i="38"/>
  <c r="H44" i="31"/>
  <c r="F40" i="50"/>
  <c r="E37" i="37"/>
  <c r="G37" i="37"/>
  <c r="G47" i="29"/>
  <c r="E47" i="29"/>
  <c r="G38" i="32"/>
  <c r="E38" i="32"/>
  <c r="G52" i="55"/>
  <c r="E52" i="55"/>
  <c r="E47" i="40"/>
  <c r="G47" i="40"/>
  <c r="G37" i="38"/>
  <c r="E37" i="38"/>
  <c r="G31" i="45"/>
  <c r="E31" i="45"/>
  <c r="G24" i="26"/>
  <c r="E24" i="26"/>
  <c r="E21" i="59"/>
  <c r="I7" i="21"/>
  <c r="E38" i="40"/>
  <c r="G38" i="40"/>
  <c r="G28" i="54"/>
  <c r="E28" i="54"/>
  <c r="C40" i="47"/>
  <c r="E34" i="47"/>
  <c r="G34" i="47"/>
  <c r="I41" i="48"/>
  <c r="C41" i="26"/>
  <c r="G35" i="26"/>
  <c r="E35" i="26"/>
  <c r="G38" i="27"/>
  <c r="E38" i="27"/>
  <c r="C98" i="42"/>
  <c r="G92" i="42"/>
  <c r="E92" i="42"/>
  <c r="D41" i="26"/>
  <c r="F41" i="26"/>
  <c r="E35" i="48"/>
  <c r="G35" i="48"/>
  <c r="G27" i="26"/>
  <c r="E27" i="26"/>
  <c r="G29" i="38"/>
  <c r="E29" i="38"/>
  <c r="G34" i="32"/>
  <c r="E34" i="32"/>
  <c r="H7" i="21"/>
  <c r="G31" i="29"/>
  <c r="E31" i="29"/>
  <c r="E38" i="51"/>
  <c r="G38" i="51"/>
  <c r="E23" i="21"/>
  <c r="D42" i="8"/>
  <c r="G24" i="12"/>
  <c r="E24" i="12"/>
  <c r="G9" i="47"/>
  <c r="E9" i="47"/>
  <c r="G7" i="20"/>
  <c r="E7" i="20"/>
  <c r="G5" i="48"/>
  <c r="E5" i="48"/>
  <c r="G6" i="10"/>
  <c r="E6" i="10"/>
  <c r="C31" i="16"/>
  <c r="E28" i="16"/>
  <c r="G28" i="16"/>
  <c r="G6" i="42"/>
  <c r="E6" i="42"/>
  <c r="E18" i="13"/>
  <c r="G18" i="13"/>
  <c r="E8" i="48"/>
  <c r="G8" i="48"/>
  <c r="G5" i="50"/>
  <c r="E5" i="50"/>
  <c r="C7" i="45"/>
  <c r="G5" i="45"/>
  <c r="E5" i="45"/>
  <c r="G6" i="21"/>
  <c r="E6" i="21"/>
  <c r="G7" i="14"/>
  <c r="E7" i="14"/>
  <c r="G8" i="10"/>
  <c r="E8" i="10"/>
  <c r="G8" i="49"/>
  <c r="E8" i="49"/>
  <c r="C7" i="16"/>
  <c r="G5" i="16"/>
  <c r="E5" i="16"/>
  <c r="G8" i="13"/>
  <c r="E8" i="13"/>
  <c r="G6" i="13"/>
  <c r="E6" i="13"/>
  <c r="G10" i="8"/>
  <c r="E10" i="8"/>
  <c r="G10" i="42"/>
  <c r="E10" i="42"/>
  <c r="G7" i="48"/>
  <c r="E7" i="48"/>
  <c r="G7" i="37"/>
  <c r="E7" i="37"/>
  <c r="G22" i="29"/>
  <c r="E22" i="29"/>
  <c r="G20" i="12"/>
  <c r="E20" i="12"/>
  <c r="E13" i="37"/>
  <c r="G13" i="37"/>
  <c r="G17" i="37"/>
  <c r="E17" i="37"/>
  <c r="G17" i="38"/>
  <c r="E17" i="38"/>
  <c r="G6" i="16"/>
  <c r="E6" i="16"/>
  <c r="G16" i="45"/>
  <c r="E16" i="45"/>
  <c r="G12" i="57"/>
  <c r="E12" i="57"/>
  <c r="G29" i="8"/>
  <c r="E29" i="8"/>
  <c r="E24" i="10"/>
  <c r="G24" i="10"/>
  <c r="E13" i="14"/>
  <c r="G13" i="14"/>
  <c r="E29" i="12"/>
  <c r="G29" i="12"/>
  <c r="D9" i="50"/>
  <c r="E7" i="50"/>
  <c r="G7" i="50"/>
  <c r="C9" i="49"/>
  <c r="E5" i="49"/>
  <c r="G5" i="49"/>
  <c r="E6" i="27"/>
  <c r="G6" i="27"/>
  <c r="E6" i="11"/>
  <c r="G6" i="11"/>
  <c r="G5" i="10"/>
  <c r="E5" i="10"/>
  <c r="G7" i="55"/>
  <c r="E7" i="55"/>
  <c r="G6" i="54"/>
  <c r="E6" i="54"/>
  <c r="G31" i="12"/>
  <c r="E31" i="12"/>
  <c r="G22" i="16"/>
  <c r="E22" i="16"/>
  <c r="G20" i="48"/>
  <c r="E20" i="48"/>
  <c r="G5" i="21"/>
  <c r="E5" i="21"/>
  <c r="G6" i="24"/>
  <c r="E6" i="24"/>
  <c r="G12" i="16"/>
  <c r="E12" i="16"/>
  <c r="C38" i="14"/>
  <c r="G32" i="14"/>
  <c r="E32" i="14"/>
  <c r="C43" i="13"/>
  <c r="G41" i="13"/>
  <c r="E41" i="13"/>
  <c r="G6" i="59"/>
  <c r="E6" i="59"/>
  <c r="C45" i="11"/>
  <c r="E43" i="11"/>
  <c r="G43" i="11"/>
  <c r="C7" i="57"/>
  <c r="G5" i="57"/>
  <c r="E5" i="57"/>
  <c r="G7" i="49"/>
  <c r="E7" i="49"/>
  <c r="C14" i="47"/>
  <c r="E13" i="47"/>
  <c r="G13" i="47"/>
  <c r="G7" i="26"/>
  <c r="E7" i="26"/>
  <c r="G6" i="12"/>
  <c r="E6" i="12"/>
  <c r="G9" i="10"/>
  <c r="E9" i="10"/>
  <c r="G5" i="12"/>
  <c r="E5" i="12"/>
  <c r="G7" i="11"/>
  <c r="E7" i="11"/>
  <c r="G6" i="49"/>
  <c r="E6" i="49"/>
  <c r="G6" i="29"/>
  <c r="E6" i="29"/>
  <c r="G9" i="13"/>
  <c r="E9" i="13"/>
  <c r="G5" i="13"/>
  <c r="E5" i="13"/>
  <c r="G7" i="12"/>
  <c r="E7" i="12"/>
  <c r="F49" i="40"/>
  <c r="C11" i="54"/>
  <c r="G10" i="54"/>
  <c r="E10" i="54"/>
  <c r="G23" i="21"/>
  <c r="G18" i="43"/>
  <c r="E18" i="43"/>
  <c r="G13" i="38"/>
  <c r="E13" i="38"/>
  <c r="E22" i="18"/>
  <c r="G22" i="18"/>
  <c r="G17" i="27"/>
  <c r="E17" i="27"/>
  <c r="H44" i="27"/>
  <c r="I38" i="14"/>
  <c r="G21" i="14"/>
  <c r="E21" i="14"/>
  <c r="G19" i="10"/>
  <c r="E19" i="10"/>
  <c r="E22" i="8"/>
  <c r="G30" i="11"/>
  <c r="E30" i="11"/>
  <c r="G20" i="16"/>
  <c r="E20" i="16"/>
  <c r="G9" i="11"/>
  <c r="E9" i="11"/>
  <c r="C11" i="35"/>
  <c r="E10" i="35"/>
  <c r="G10" i="35"/>
  <c r="E6" i="50"/>
  <c r="G6" i="50"/>
  <c r="G7" i="31"/>
  <c r="E7" i="31"/>
  <c r="G8" i="11"/>
  <c r="E8" i="11"/>
  <c r="G9" i="12"/>
  <c r="E9" i="12"/>
  <c r="G5" i="11"/>
  <c r="E5" i="11"/>
  <c r="G7" i="10"/>
  <c r="E7" i="10"/>
  <c r="G6" i="35"/>
  <c r="E6" i="35"/>
  <c r="G15" i="35"/>
  <c r="E15" i="35"/>
  <c r="C32" i="54"/>
  <c r="G15" i="54"/>
  <c r="E15" i="54"/>
  <c r="C22" i="59"/>
  <c r="G39" i="12"/>
  <c r="E39" i="12"/>
  <c r="G18" i="32"/>
  <c r="E18" i="32"/>
  <c r="G6" i="40"/>
  <c r="E6" i="40"/>
  <c r="G14" i="32"/>
  <c r="E14" i="32"/>
  <c r="E5" i="27"/>
  <c r="G5" i="27"/>
  <c r="G18" i="47"/>
  <c r="E18" i="47"/>
  <c r="G20" i="31"/>
  <c r="E20" i="31"/>
  <c r="E17" i="14"/>
  <c r="G17" i="14"/>
  <c r="G16" i="16"/>
  <c r="E16" i="16"/>
  <c r="E23" i="11"/>
  <c r="G23" i="11"/>
  <c r="G19" i="11"/>
  <c r="E19" i="11"/>
  <c r="C41" i="8"/>
  <c r="G37" i="8"/>
  <c r="E37" i="8"/>
  <c r="F58" i="24"/>
  <c r="C37" i="10"/>
  <c r="G26" i="10"/>
  <c r="E26" i="10"/>
  <c r="E6" i="32"/>
  <c r="G6" i="32"/>
  <c r="C11" i="45"/>
  <c r="G6" i="45"/>
  <c r="E6" i="45"/>
  <c r="C44" i="27"/>
  <c r="G39" i="11"/>
  <c r="E39" i="11"/>
  <c r="E15" i="10"/>
  <c r="G15" i="10"/>
  <c r="G43" i="12"/>
  <c r="E43" i="12"/>
  <c r="E28" i="11"/>
  <c r="G28" i="11"/>
  <c r="G11" i="59"/>
  <c r="E11" i="59"/>
  <c r="G22" i="8"/>
  <c r="D52" i="20"/>
  <c r="G16" i="57"/>
  <c r="E16" i="57"/>
  <c r="G24" i="14"/>
  <c r="E24" i="14"/>
  <c r="C15" i="59"/>
  <c r="E21" i="54"/>
  <c r="G18" i="49"/>
  <c r="E18" i="49"/>
  <c r="C40" i="32"/>
  <c r="H58" i="24"/>
  <c r="G16" i="50"/>
  <c r="E16" i="50"/>
  <c r="G16" i="48"/>
  <c r="E16" i="48"/>
  <c r="E19" i="54"/>
  <c r="E22" i="13"/>
  <c r="G22" i="13"/>
  <c r="D40" i="47"/>
  <c r="E29" i="13"/>
  <c r="G29" i="13"/>
  <c r="G18" i="8"/>
  <c r="E18" i="8"/>
  <c r="E32" i="10"/>
  <c r="G32" i="10"/>
  <c r="G27" i="13"/>
  <c r="E27" i="13"/>
  <c r="G20" i="35"/>
  <c r="E20" i="35"/>
  <c r="G8" i="50"/>
  <c r="E8" i="50"/>
  <c r="G6" i="48"/>
  <c r="E6" i="48"/>
  <c r="G7" i="43"/>
  <c r="E7" i="43"/>
  <c r="C7" i="32"/>
  <c r="G5" i="32"/>
  <c r="E5" i="32"/>
  <c r="E6" i="18"/>
  <c r="G6" i="18"/>
  <c r="G8" i="12"/>
  <c r="E8" i="12"/>
  <c r="E7" i="13"/>
  <c r="G7" i="13"/>
  <c r="C45" i="12"/>
  <c r="G20" i="50"/>
  <c r="E20" i="50"/>
  <c r="G14" i="43"/>
  <c r="E14" i="43"/>
  <c r="C39" i="37"/>
  <c r="I52" i="20"/>
  <c r="G6" i="51"/>
  <c r="E6" i="51"/>
  <c r="E19" i="26"/>
  <c r="G19" i="26"/>
  <c r="G7" i="38"/>
  <c r="E7" i="38"/>
  <c r="H40" i="50"/>
  <c r="G15" i="26"/>
  <c r="E15" i="26"/>
  <c r="G37" i="13"/>
  <c r="E37" i="13"/>
  <c r="E27" i="8"/>
  <c r="G27" i="8"/>
  <c r="F35" i="45"/>
  <c r="G6" i="57"/>
  <c r="E6" i="57"/>
  <c r="D38" i="35"/>
  <c r="C9" i="50"/>
  <c r="F9" i="48"/>
  <c r="C10" i="10"/>
  <c r="F43" i="13"/>
  <c r="I9" i="48"/>
  <c r="D49" i="40"/>
  <c r="D44" i="31"/>
  <c r="D24" i="59"/>
  <c r="I15" i="59"/>
  <c r="I29" i="59" s="1"/>
  <c r="C9" i="48"/>
  <c r="D10" i="10"/>
  <c r="I10" i="12"/>
  <c r="F9" i="49"/>
  <c r="D10" i="13"/>
  <c r="D10" i="12"/>
  <c r="F10" i="11"/>
  <c r="H9" i="48"/>
  <c r="H10" i="10"/>
  <c r="C10" i="13"/>
  <c r="I10" i="10"/>
  <c r="H9" i="49"/>
  <c r="I9" i="49"/>
  <c r="H10" i="11"/>
  <c r="C10" i="11"/>
  <c r="C10" i="12"/>
  <c r="I10" i="11"/>
  <c r="H9" i="50"/>
  <c r="I9" i="50"/>
  <c r="F10" i="10"/>
  <c r="H10" i="13"/>
  <c r="I10" i="13"/>
  <c r="F15" i="59"/>
  <c r="F10" i="13"/>
  <c r="H10" i="12"/>
  <c r="D9" i="49"/>
  <c r="I45" i="12"/>
  <c r="F44" i="27"/>
  <c r="C7" i="27"/>
  <c r="F9" i="50"/>
  <c r="D10" i="11"/>
  <c r="F10" i="12"/>
  <c r="D9" i="48"/>
  <c r="F24" i="59"/>
  <c r="D15" i="59"/>
  <c r="H15" i="59"/>
  <c r="H29" i="59" s="1"/>
  <c r="C13" i="49"/>
  <c r="I47" i="29"/>
  <c r="I49" i="29" s="1"/>
  <c r="H47" i="29"/>
  <c r="H49" i="29" s="1"/>
  <c r="F13" i="49"/>
  <c r="F14" i="49" s="1"/>
  <c r="I35" i="49"/>
  <c r="I37" i="49" s="1"/>
  <c r="H35" i="49"/>
  <c r="H37" i="49" s="1"/>
  <c r="I40" i="40"/>
  <c r="I38" i="40"/>
  <c r="H40" i="40"/>
  <c r="H38" i="40"/>
  <c r="G23" i="1"/>
  <c r="E23" i="1"/>
  <c r="I49" i="40" l="1"/>
  <c r="E32" i="54"/>
  <c r="G32" i="54"/>
  <c r="E27" i="59"/>
  <c r="G27" i="59"/>
  <c r="G65" i="51"/>
  <c r="E65" i="51"/>
  <c r="G52" i="20"/>
  <c r="E52" i="20"/>
  <c r="G35" i="45"/>
  <c r="G54" i="55"/>
  <c r="E54" i="55"/>
  <c r="G58" i="24"/>
  <c r="E58" i="24"/>
  <c r="G40" i="32"/>
  <c r="E40" i="32"/>
  <c r="G44" i="27"/>
  <c r="E44" i="27"/>
  <c r="G40" i="47"/>
  <c r="E40" i="47"/>
  <c r="E24" i="59"/>
  <c r="G24" i="59"/>
  <c r="E39" i="37"/>
  <c r="G39" i="37"/>
  <c r="G37" i="49"/>
  <c r="E37" i="49"/>
  <c r="E44" i="31"/>
  <c r="G49" i="18"/>
  <c r="E49" i="18"/>
  <c r="E41" i="48"/>
  <c r="G41" i="48"/>
  <c r="G22" i="59"/>
  <c r="E22" i="59"/>
  <c r="E35" i="43"/>
  <c r="G35" i="43"/>
  <c r="E39" i="38"/>
  <c r="G39" i="38"/>
  <c r="G38" i="35"/>
  <c r="E38" i="35"/>
  <c r="E49" i="40"/>
  <c r="G49" i="40"/>
  <c r="E15" i="59"/>
  <c r="G41" i="26"/>
  <c r="E41" i="26"/>
  <c r="G49" i="29"/>
  <c r="E49" i="29"/>
  <c r="G98" i="42"/>
  <c r="E98" i="42"/>
  <c r="G40" i="50"/>
  <c r="G9" i="50"/>
  <c r="E9" i="50"/>
  <c r="G37" i="10"/>
  <c r="E37" i="10"/>
  <c r="E7" i="27"/>
  <c r="G7" i="27"/>
  <c r="E9" i="48"/>
  <c r="G9" i="48"/>
  <c r="E7" i="32"/>
  <c r="G7" i="32"/>
  <c r="E14" i="47"/>
  <c r="G14" i="47"/>
  <c r="E45" i="11"/>
  <c r="G45" i="11"/>
  <c r="G7" i="45"/>
  <c r="E7" i="45"/>
  <c r="G15" i="59"/>
  <c r="C12" i="45"/>
  <c r="G11" i="45"/>
  <c r="E11" i="45"/>
  <c r="G11" i="54"/>
  <c r="E11" i="54"/>
  <c r="G10" i="10"/>
  <c r="E10" i="10"/>
  <c r="G11" i="35"/>
  <c r="E11" i="35"/>
  <c r="G43" i="13"/>
  <c r="E43" i="13"/>
  <c r="G7" i="16"/>
  <c r="E7" i="16"/>
  <c r="D29" i="59"/>
  <c r="C29" i="59"/>
  <c r="E45" i="12"/>
  <c r="G45" i="12"/>
  <c r="G31" i="16"/>
  <c r="E31" i="16"/>
  <c r="C14" i="49"/>
  <c r="E13" i="49"/>
  <c r="G13" i="49"/>
  <c r="G10" i="12"/>
  <c r="E10" i="12"/>
  <c r="G10" i="11"/>
  <c r="E10" i="11"/>
  <c r="G10" i="13"/>
  <c r="E10" i="13"/>
  <c r="G41" i="8"/>
  <c r="E41" i="8"/>
  <c r="G7" i="57"/>
  <c r="E7" i="57"/>
  <c r="G38" i="14"/>
  <c r="E38" i="14"/>
  <c r="G9" i="49"/>
  <c r="E9" i="49"/>
  <c r="G7" i="21"/>
  <c r="E7" i="21"/>
  <c r="H49" i="40"/>
  <c r="F29" i="59"/>
  <c r="E29" i="59" l="1"/>
  <c r="G29" i="59"/>
  <c r="G14" i="49"/>
  <c r="E14" i="49"/>
  <c r="G12" i="45"/>
  <c r="E12" i="45"/>
</calcChain>
</file>

<file path=xl/sharedStrings.xml><?xml version="1.0" encoding="utf-8"?>
<sst xmlns="http://schemas.openxmlformats.org/spreadsheetml/2006/main" count="1766" uniqueCount="415">
  <si>
    <t>custeio</t>
  </si>
  <si>
    <t>Despesas Custeio</t>
  </si>
  <si>
    <t>Despesa</t>
  </si>
  <si>
    <t>Diretorias de Orçamento</t>
  </si>
  <si>
    <t>EPM</t>
  </si>
  <si>
    <t>Projeção 2025</t>
  </si>
  <si>
    <t>Variação
Orç 2026 vs Projeção 2025</t>
  </si>
  <si>
    <t>Orçamento 2025</t>
  </si>
  <si>
    <t>Variação
Orç 2026 vs Orç 2025</t>
  </si>
  <si>
    <t>D</t>
  </si>
  <si>
    <t>Diretoria de Área Administrativa</t>
  </si>
  <si>
    <t>Dir. Área Administrativa</t>
  </si>
  <si>
    <t>Assessoria de Planejamento</t>
  </si>
  <si>
    <t>Conselho Deliberativo e Conselho Fiscal</t>
  </si>
  <si>
    <t>Conselhos</t>
  </si>
  <si>
    <t>Diretoria de Área Cultural</t>
  </si>
  <si>
    <t>Dir. Área Cultural</t>
  </si>
  <si>
    <t>Custeio Geral</t>
  </si>
  <si>
    <t>Diretoria de Área Esportes Individuais e Aquáticos</t>
  </si>
  <si>
    <t>Diretoria de Área Esportes Associativos</t>
  </si>
  <si>
    <t>Dir. Área Esportes Associativos</t>
  </si>
  <si>
    <t>Diretoria de Área de Marketing e Comunicação</t>
  </si>
  <si>
    <t>Diretoria de Área Esportes Coletivos</t>
  </si>
  <si>
    <t>Dir. Área Esportes Coletivos</t>
  </si>
  <si>
    <t>Diretoria de Área de Patrimônio</t>
  </si>
  <si>
    <t>Diretoria de Área Esportes Raquetes</t>
  </si>
  <si>
    <t>Dir. Área Esportes Raquetes</t>
  </si>
  <si>
    <t>Diretoria de Área de Relações Esportivas</t>
  </si>
  <si>
    <t>Diretoria de Área Financeira</t>
  </si>
  <si>
    <t>Dir. Área Financeira</t>
  </si>
  <si>
    <t>Diretoria de Área de Relações Institucionais</t>
  </si>
  <si>
    <t>Diretoria de Área Jurídica</t>
  </si>
  <si>
    <t>Dir. Área Jurídica</t>
  </si>
  <si>
    <t>Dir. Área Marketing</t>
  </si>
  <si>
    <t>Diretoria de Área de Serviços Gerais</t>
  </si>
  <si>
    <t>Dir. Área Serviços Gerais</t>
  </si>
  <si>
    <t>Dir. Área Patrimônio</t>
  </si>
  <si>
    <t>Presidência</t>
  </si>
  <si>
    <t>Dir. Área Relações Esportivas</t>
  </si>
  <si>
    <t>Dir. Área Relações Institucionais</t>
  </si>
  <si>
    <t>Diretoria de Área Social</t>
  </si>
  <si>
    <t>Dir. Área Social</t>
  </si>
  <si>
    <t>Total Geral</t>
  </si>
  <si>
    <r>
      <t xml:space="preserve">Central de Atendimento </t>
    </r>
    <r>
      <rPr>
        <sz val="14"/>
        <color rgb="FF002060"/>
        <rFont val="Calibri"/>
        <family val="2"/>
        <scheme val="minor"/>
      </rPr>
      <t xml:space="preserve"> (Diretoria de Área Administrativa)</t>
    </r>
  </si>
  <si>
    <t>Orçamento 2026</t>
  </si>
  <si>
    <t>Área</t>
  </si>
  <si>
    <t>Central de Atendimento</t>
  </si>
  <si>
    <t>Ética Disciplinar</t>
  </si>
  <si>
    <t>Médica</t>
  </si>
  <si>
    <t>Recursos Humanos</t>
  </si>
  <si>
    <t>Segurança</t>
  </si>
  <si>
    <t xml:space="preserve">Total </t>
  </si>
  <si>
    <t xml:space="preserve">Centro de Custo </t>
  </si>
  <si>
    <t>Call Center</t>
  </si>
  <si>
    <t>Cadastro</t>
  </si>
  <si>
    <t>Ouvidoria</t>
  </si>
  <si>
    <t xml:space="preserve">Agrupamento Gerencial </t>
  </si>
  <si>
    <t>Pessoal</t>
  </si>
  <si>
    <t>Salários e provisões</t>
  </si>
  <si>
    <t>Encargos sociais</t>
  </si>
  <si>
    <t>Benefícios</t>
  </si>
  <si>
    <t>Outros</t>
  </si>
  <si>
    <t>Serviços Contratados</t>
  </si>
  <si>
    <t>Serviços contratados</t>
  </si>
  <si>
    <t>Mercadorias e Materiais</t>
  </si>
  <si>
    <t>Material de consumo geral</t>
  </si>
  <si>
    <t>Mercadoria de revenda e consumo</t>
  </si>
  <si>
    <t>Mercadoria de uso geral</t>
  </si>
  <si>
    <t>Despesas Financeiras</t>
  </si>
  <si>
    <t>Utilidades</t>
  </si>
  <si>
    <t>Utilidades de Tecnologia e Comunicação</t>
  </si>
  <si>
    <t>Gastos Gerais</t>
  </si>
  <si>
    <t>Locomoções gerais - viagens - estadias</t>
  </si>
  <si>
    <t>Outros gastos gerais</t>
  </si>
  <si>
    <r>
      <t xml:space="preserve">Ética Disciplinar </t>
    </r>
    <r>
      <rPr>
        <sz val="14"/>
        <color rgb="FF002060"/>
        <rFont val="Calibri"/>
        <family val="2"/>
        <scheme val="minor"/>
      </rPr>
      <t xml:space="preserve"> (Diretoria de Área Administrativa)</t>
    </r>
  </si>
  <si>
    <r>
      <t xml:space="preserve">Médica </t>
    </r>
    <r>
      <rPr>
        <sz val="14"/>
        <color rgb="FF002060"/>
        <rFont val="Calibri"/>
        <family val="2"/>
        <scheme val="minor"/>
      </rPr>
      <t>(Diretoria de Área Administrativa)</t>
    </r>
  </si>
  <si>
    <t>Emergência Médica</t>
  </si>
  <si>
    <t>Medicina Esportiva</t>
  </si>
  <si>
    <t>Sauna e Massagem</t>
  </si>
  <si>
    <t>Fisioterapia e RPG</t>
  </si>
  <si>
    <t>Administração do Departamento Médico</t>
  </si>
  <si>
    <t>Utilidades de Infraestrutura</t>
  </si>
  <si>
    <t>Despesas financeiras</t>
  </si>
  <si>
    <t>Tributários fiscais e taxas</t>
  </si>
  <si>
    <r>
      <t>Recursos Humanos</t>
    </r>
    <r>
      <rPr>
        <sz val="14"/>
        <color rgb="FF002060"/>
        <rFont val="Calibri"/>
        <family val="2"/>
        <scheme val="minor"/>
      </rPr>
      <t xml:space="preserve"> (Diretoria de Área Administrativa)</t>
    </r>
  </si>
  <si>
    <t>Administração de RH</t>
  </si>
  <si>
    <t>Programa de Aprendizes</t>
  </si>
  <si>
    <t>Medicina e Segurança do Trabalho</t>
  </si>
  <si>
    <t>Endomarketing SouECP</t>
  </si>
  <si>
    <t>Treinamento e Desenvolvimento</t>
  </si>
  <si>
    <t>Recrutamento e Seleção</t>
  </si>
  <si>
    <r>
      <t xml:space="preserve">Segurança </t>
    </r>
    <r>
      <rPr>
        <sz val="14"/>
        <color rgb="FF002060"/>
        <rFont val="Calibri"/>
        <family val="2"/>
        <scheme val="minor"/>
      </rPr>
      <t xml:space="preserve"> (Diretoria de Área Administrativa)</t>
    </r>
  </si>
  <si>
    <t>Portarias</t>
  </si>
  <si>
    <t>Estacionamento Tucumã</t>
  </si>
  <si>
    <t>Estacionamento Faria Lima</t>
  </si>
  <si>
    <t>Administração de Segurança</t>
  </si>
  <si>
    <r>
      <t xml:space="preserve">Conselho Deliberativo </t>
    </r>
    <r>
      <rPr>
        <sz val="14"/>
        <color rgb="FF002060"/>
        <rFont val="Calibri"/>
        <family val="2"/>
        <scheme val="minor"/>
      </rPr>
      <t>(Conselhos)</t>
    </r>
  </si>
  <si>
    <t>Conselho Deliberativo</t>
  </si>
  <si>
    <t>Conselho Fiscal</t>
  </si>
  <si>
    <t>Eventos Institucionais do Conselho Deliberativo</t>
  </si>
  <si>
    <t>Encargos sobre serviços contratados</t>
  </si>
  <si>
    <t>Impostos e Taxas</t>
  </si>
  <si>
    <r>
      <t xml:space="preserve">Conselho Fiscal </t>
    </r>
    <r>
      <rPr>
        <sz val="14"/>
        <color rgb="FF002060"/>
        <rFont val="Calibri"/>
        <family val="2"/>
        <scheme val="minor"/>
      </rPr>
      <t>(Conselhos)</t>
    </r>
  </si>
  <si>
    <t>Salários e Provisões</t>
  </si>
  <si>
    <t>Extraordinários</t>
  </si>
  <si>
    <t>Encargos Sociais</t>
  </si>
  <si>
    <r>
      <t xml:space="preserve">Cultural </t>
    </r>
    <r>
      <rPr>
        <sz val="14"/>
        <color rgb="FF002060"/>
        <rFont val="Calibri"/>
        <family val="2"/>
        <scheme val="minor"/>
      </rPr>
      <t>(Diretoria de Área Cultural)</t>
    </r>
  </si>
  <si>
    <t>Cultural</t>
  </si>
  <si>
    <t>Jardim de Infância</t>
  </si>
  <si>
    <t>Ballet</t>
  </si>
  <si>
    <t>Atividades e Eventos Culturais</t>
  </si>
  <si>
    <t>Administração do Cultural</t>
  </si>
  <si>
    <t>Cursos</t>
  </si>
  <si>
    <t>Biblioteca</t>
  </si>
  <si>
    <t>Teatro Atividades</t>
  </si>
  <si>
    <t>Teatro Eventos</t>
  </si>
  <si>
    <t>Cinema</t>
  </si>
  <si>
    <t>Coral</t>
  </si>
  <si>
    <t>Literatura</t>
  </si>
  <si>
    <t>Banda de Jazz</t>
  </si>
  <si>
    <t>Esportes Aquáticos</t>
  </si>
  <si>
    <t>Esportes Individuais</t>
  </si>
  <si>
    <t>Natação Alto Rendimento</t>
  </si>
  <si>
    <t>Natação Formação e Especialização</t>
  </si>
  <si>
    <t>Natação Escolinha</t>
  </si>
  <si>
    <t>Polo Aquático Alto Rendimento</t>
  </si>
  <si>
    <t>Polo Aquático Formação e Especialização</t>
  </si>
  <si>
    <t>Remo Alto Rendimento</t>
  </si>
  <si>
    <t>Natação Aulas e Aperfeiçoamento</t>
  </si>
  <si>
    <t>Saltos Ornamentais Formação e Especialização</t>
  </si>
  <si>
    <t>Triathlon Alto Rendimento</t>
  </si>
  <si>
    <t>Saltos Ornamentais Alto Rendimento</t>
  </si>
  <si>
    <t>Remo Formação e Especialização</t>
  </si>
  <si>
    <t>Canoagem</t>
  </si>
  <si>
    <t>Triathlon Formação e Especialização</t>
  </si>
  <si>
    <t>Despesas com atletas</t>
  </si>
  <si>
    <t>Judô Alto Rendimento</t>
  </si>
  <si>
    <t>Atletismo Alto Rendimento</t>
  </si>
  <si>
    <t>Ginástica Artística Alto Rendimento</t>
  </si>
  <si>
    <t>Ginástica Artística Formação e Especialização</t>
  </si>
  <si>
    <t>Judô Formação e Especialização</t>
  </si>
  <si>
    <t>Esgrima Alto Rendimento</t>
  </si>
  <si>
    <t>Esgrima Formação e Especialização</t>
  </si>
  <si>
    <t>Levantamento de Peso Alto Rendimento</t>
  </si>
  <si>
    <t>Badminton Alto Rendimento</t>
  </si>
  <si>
    <t>Badminton Formação e Especialização</t>
  </si>
  <si>
    <t>Atletismo Formação e Especialização</t>
  </si>
  <si>
    <t>Levantamento de Peso Formação e Especialização</t>
  </si>
  <si>
    <r>
      <t xml:space="preserve">Esportes Associativos </t>
    </r>
    <r>
      <rPr>
        <sz val="14"/>
        <color rgb="FF002060"/>
        <rFont val="Calibri"/>
        <family val="2"/>
        <scheme val="minor"/>
      </rPr>
      <t>(Diretoria de Área de Esportes Associativos)</t>
    </r>
  </si>
  <si>
    <t>Esportes Associativos</t>
  </si>
  <si>
    <t>Fitness</t>
  </si>
  <si>
    <t>Administração de Esportes Associativos</t>
  </si>
  <si>
    <t>Beach Tennis</t>
  </si>
  <si>
    <t>Skate</t>
  </si>
  <si>
    <t>Ginástica de Academia</t>
  </si>
  <si>
    <t>Vôlei de Praia</t>
  </si>
  <si>
    <t>Boliche 9 Pinos</t>
  </si>
  <si>
    <t>Futevôlei</t>
  </si>
  <si>
    <t>Vôlei Máster</t>
  </si>
  <si>
    <t>Bilhar e Snooker</t>
  </si>
  <si>
    <t>Bolão</t>
  </si>
  <si>
    <t>Xadrez</t>
  </si>
  <si>
    <t>Boliche 10 Pinos</t>
  </si>
  <si>
    <t>Basquete Máster</t>
  </si>
  <si>
    <t xml:space="preserve">Orientação Individualizada </t>
  </si>
  <si>
    <t>Bocha</t>
  </si>
  <si>
    <t>Pickleball</t>
  </si>
  <si>
    <t>Muay Thai</t>
  </si>
  <si>
    <t xml:space="preserve">Boxe Funcional </t>
  </si>
  <si>
    <t>Espaço Teens</t>
  </si>
  <si>
    <t>Peteca</t>
  </si>
  <si>
    <t>Administração de Esportes</t>
  </si>
  <si>
    <t>Esportes Coletivos</t>
  </si>
  <si>
    <t>CIAA</t>
  </si>
  <si>
    <t>Rouparia</t>
  </si>
  <si>
    <t>DEA</t>
  </si>
  <si>
    <r>
      <t xml:space="preserve">Esportes Coletivos </t>
    </r>
    <r>
      <rPr>
        <sz val="14"/>
        <color rgb="FF002060"/>
        <rFont val="Calibri"/>
        <family val="2"/>
        <scheme val="minor"/>
      </rPr>
      <t>(Diretoria de Área de Esportes Coletivos)</t>
    </r>
  </si>
  <si>
    <t>Basquete Alto Rendimento</t>
  </si>
  <si>
    <t>Voleibol Alto Rendimento</t>
  </si>
  <si>
    <t>Handebol Alto Rendimento</t>
  </si>
  <si>
    <t>Voleibol Formação e Especialização</t>
  </si>
  <si>
    <t>Basquete Formação e Especialização</t>
  </si>
  <si>
    <t>Handebol Formação e Especialização</t>
  </si>
  <si>
    <r>
      <t xml:space="preserve">Esportes Raquetes </t>
    </r>
    <r>
      <rPr>
        <sz val="14"/>
        <color rgb="FF002060"/>
        <rFont val="Calibri"/>
        <family val="2"/>
        <scheme val="minor"/>
      </rPr>
      <t>(Diretoria de Área de Esportes Raquetes)</t>
    </r>
  </si>
  <si>
    <t>Esportes Raquetes</t>
  </si>
  <si>
    <t>Tênis Treinador PJ</t>
  </si>
  <si>
    <t>Secretaria do Tênis</t>
  </si>
  <si>
    <t>Tênis Formação e Especialização</t>
  </si>
  <si>
    <t>Tênis Aulas Coletivas</t>
  </si>
  <si>
    <t>Tênis Manutenção de Quadras</t>
  </si>
  <si>
    <t>Squash Formação e Especialização</t>
  </si>
  <si>
    <t>Tênis Jogar</t>
  </si>
  <si>
    <t>Tênis Eventos</t>
  </si>
  <si>
    <t>Squash Alto Rendimento</t>
  </si>
  <si>
    <t>Tênis Escolinha</t>
  </si>
  <si>
    <t>Tênis Kids</t>
  </si>
  <si>
    <t>Auxiliares de Quadra</t>
  </si>
  <si>
    <t>Real 2023</t>
  </si>
  <si>
    <r>
      <t xml:space="preserve">Financeira </t>
    </r>
    <r>
      <rPr>
        <sz val="14"/>
        <color rgb="FF002060"/>
        <rFont val="Calibri"/>
        <family val="2"/>
        <scheme val="minor"/>
      </rPr>
      <t>(Diretoria de Área Financeira)</t>
    </r>
  </si>
  <si>
    <t>Financeira</t>
  </si>
  <si>
    <t>Suprimentos</t>
  </si>
  <si>
    <t>Tesouraria</t>
  </si>
  <si>
    <t>Contabilidade</t>
  </si>
  <si>
    <t>Supervisão de Caixa</t>
  </si>
  <si>
    <t>Contas a Receber</t>
  </si>
  <si>
    <t>Controladoria</t>
  </si>
  <si>
    <t>Projetos Esportivos Incentivados</t>
  </si>
  <si>
    <t>Administração de Contratos</t>
  </si>
  <si>
    <t>Controle de Ativos</t>
  </si>
  <si>
    <t>Escrita Fiscal</t>
  </si>
  <si>
    <r>
      <t>Suprimentos</t>
    </r>
    <r>
      <rPr>
        <sz val="14"/>
        <color rgb="FF002060"/>
        <rFont val="Calibri"/>
        <family val="2"/>
        <scheme val="minor"/>
      </rPr>
      <t xml:space="preserve"> (Diretoria de Área Financeira)</t>
    </r>
  </si>
  <si>
    <t>Compras</t>
  </si>
  <si>
    <t>Almoxarifado de Alimentos e Bebidas</t>
  </si>
  <si>
    <t>Almoxarifado de Manutenção</t>
  </si>
  <si>
    <r>
      <t xml:space="preserve">Jurídica </t>
    </r>
    <r>
      <rPr>
        <sz val="14"/>
        <color rgb="FF002060"/>
        <rFont val="Calibri"/>
        <family val="2"/>
        <scheme val="minor"/>
      </rPr>
      <t>(Diretoria de Área Jurídica)</t>
    </r>
  </si>
  <si>
    <t>Jurídica</t>
  </si>
  <si>
    <t>Despesa de provisão para contingência</t>
  </si>
  <si>
    <t>Marketing</t>
  </si>
  <si>
    <t>Comunicação</t>
  </si>
  <si>
    <t>Marketing Esportivo</t>
  </si>
  <si>
    <t>Branding</t>
  </si>
  <si>
    <t>Revista Pinheiros</t>
  </si>
  <si>
    <r>
      <t xml:space="preserve">Serviços Gerais </t>
    </r>
    <r>
      <rPr>
        <sz val="14"/>
        <color rgb="FF002060"/>
        <rFont val="Calibri"/>
        <family val="2"/>
        <scheme val="minor"/>
      </rPr>
      <t>(Diretoria de Área de Serviços Gerais)</t>
    </r>
  </si>
  <si>
    <t>Serviços Gerais</t>
  </si>
  <si>
    <t>Limpeza</t>
  </si>
  <si>
    <t>Zeladoria de Vestiários</t>
  </si>
  <si>
    <t>Zeladoria Esportiva</t>
  </si>
  <si>
    <t>Salva Vidas</t>
  </si>
  <si>
    <t>Jardinagem</t>
  </si>
  <si>
    <t>Administração de Serviços Gerais</t>
  </si>
  <si>
    <t>Apoio Operacional</t>
  </si>
  <si>
    <t>Carrinhos Elétricos</t>
  </si>
  <si>
    <t>Lavanderia</t>
  </si>
  <si>
    <t>Transporte Externo</t>
  </si>
  <si>
    <t>Gestão de Resíduos</t>
  </si>
  <si>
    <t>Pequenos Reparos</t>
  </si>
  <si>
    <t>Mini Zoo</t>
  </si>
  <si>
    <r>
      <t xml:space="preserve">Patrimônio </t>
    </r>
    <r>
      <rPr>
        <sz val="14"/>
        <color rgb="FF002060"/>
        <rFont val="Calibri"/>
        <family val="2"/>
        <scheme val="minor"/>
      </rPr>
      <t>(Diretoria de Área de Patrimônio)</t>
    </r>
  </si>
  <si>
    <t>Patrimônio</t>
  </si>
  <si>
    <t>Dependências Diversas</t>
  </si>
  <si>
    <t>Administração de Patrimônio</t>
  </si>
  <si>
    <t>Alvenaria</t>
  </si>
  <si>
    <t>Área Alamedas e Jardins</t>
  </si>
  <si>
    <t>Área Lago e Entorno</t>
  </si>
  <si>
    <t>Área Lazer Parque Infantil</t>
  </si>
  <si>
    <t>Área Muros e Externa</t>
  </si>
  <si>
    <t>Área Quadras Areia</t>
  </si>
  <si>
    <t>Área Quadras Poliesportiva</t>
  </si>
  <si>
    <t>Área Quadras Tênis Externas</t>
  </si>
  <si>
    <t>Área Raia da USP</t>
  </si>
  <si>
    <t>Caldeira</t>
  </si>
  <si>
    <t>Edifcação Complexo Aquático</t>
  </si>
  <si>
    <t>Edificação Administrativo Operacional</t>
  </si>
  <si>
    <t>Edificação Alameda</t>
  </si>
  <si>
    <t>Edificação Arquibancadas</t>
  </si>
  <si>
    <t>Edificação Brinquedoteca</t>
  </si>
  <si>
    <t>Edificação Cabines Elétricas</t>
  </si>
  <si>
    <t>Edificação Campo Futebol A</t>
  </si>
  <si>
    <t>Edificação Campo Futebol B</t>
  </si>
  <si>
    <t>Edificação CCR</t>
  </si>
  <si>
    <t>Edificação Centro Administrativo</t>
  </si>
  <si>
    <t>Edificação Centro Desportivo CD</t>
  </si>
  <si>
    <t>Edificação Estacionamento Faria Lima</t>
  </si>
  <si>
    <t>Edificação Estacionamento Tucumã</t>
  </si>
  <si>
    <t>Edificação Ginásio de Lutas</t>
  </si>
  <si>
    <t>Edificação Ginásio Handebol</t>
  </si>
  <si>
    <t>Edificação Ginásio Tênis</t>
  </si>
  <si>
    <t>Edificação Ginásios Diversos</t>
  </si>
  <si>
    <t>Edificação Jardim de Infância</t>
  </si>
  <si>
    <t>Edificação Lanchonete do Futebol</t>
  </si>
  <si>
    <t>Edificação Mini Zoo</t>
  </si>
  <si>
    <t>Edificação Pista de Atletismo</t>
  </si>
  <si>
    <t>Edificação Portaria da Doca</t>
  </si>
  <si>
    <t>Edificação Portaria do Boliche</t>
  </si>
  <si>
    <t>Edificação Portaria Principal Tucumã</t>
  </si>
  <si>
    <t>Edificação Quadra de Futebol Society</t>
  </si>
  <si>
    <t>Edificação Restaurante do Lago</t>
  </si>
  <si>
    <t>Edificação Salão de Festas</t>
  </si>
  <si>
    <t>Edificação Salão Infantil</t>
  </si>
  <si>
    <t>Edificação Sauna</t>
  </si>
  <si>
    <t>Edificação Sede Social</t>
  </si>
  <si>
    <t>Edificação Vestiários da Piscina</t>
  </si>
  <si>
    <t>Edificação Vestiários do Tênis</t>
  </si>
  <si>
    <t>Elétrica</t>
  </si>
  <si>
    <t>Hidráulica</t>
  </si>
  <si>
    <t>Marcenaria</t>
  </si>
  <si>
    <t>Pintura</t>
  </si>
  <si>
    <t>Refrigeração</t>
  </si>
  <si>
    <t>Serralheria</t>
  </si>
  <si>
    <t>Tapeçaria</t>
  </si>
  <si>
    <t>Tratamento de Piscinas</t>
  </si>
  <si>
    <t>Sistemas de Piscinas</t>
  </si>
  <si>
    <t>Meio Ambiente</t>
  </si>
  <si>
    <t>Meio Ambiente e Sustentabilidade</t>
  </si>
  <si>
    <t>Som e Vídeo</t>
  </si>
  <si>
    <t>Som</t>
  </si>
  <si>
    <t>Manutenção Geral</t>
  </si>
  <si>
    <t>Sistemas de Infraestrutura</t>
  </si>
  <si>
    <r>
      <t>Planejamento</t>
    </r>
    <r>
      <rPr>
        <sz val="14"/>
        <color rgb="FF002060"/>
        <rFont val="Calibri"/>
        <family val="2"/>
        <scheme val="minor"/>
      </rPr>
      <t xml:space="preserve"> (Assessoria de Planejamento)</t>
    </r>
  </si>
  <si>
    <t>Planejamento</t>
  </si>
  <si>
    <t>Tecnologia</t>
  </si>
  <si>
    <t>Sistema de Gestão da Qualidade e Processos</t>
  </si>
  <si>
    <t>Plano Diretor de Desenvolvimento</t>
  </si>
  <si>
    <r>
      <t>Tecnologia</t>
    </r>
    <r>
      <rPr>
        <sz val="14"/>
        <color rgb="FF002060"/>
        <rFont val="Calibri"/>
        <family val="2"/>
        <scheme val="minor"/>
      </rPr>
      <t xml:space="preserve"> (Assessoria de Planejamento)</t>
    </r>
  </si>
  <si>
    <r>
      <t xml:space="preserve">Centro Pró Memória Hans Nobiling </t>
    </r>
    <r>
      <rPr>
        <sz val="14"/>
        <color rgb="FF002060"/>
        <rFont val="Calibri"/>
        <family val="2"/>
        <scheme val="minor"/>
      </rPr>
      <t>(Presidência)</t>
    </r>
  </si>
  <si>
    <t>Centro Pró Memória Hans Nobiling</t>
  </si>
  <si>
    <t>Departamento de Assistência Social</t>
  </si>
  <si>
    <t>DAS - Departamento de Assistência Social</t>
  </si>
  <si>
    <t>Governança e Compliance</t>
  </si>
  <si>
    <t>Presidência da Diretoria</t>
  </si>
  <si>
    <t>Adm. Centro Pró Memória</t>
  </si>
  <si>
    <t>Administração do DAS</t>
  </si>
  <si>
    <t>Atividades e Eventos do DAS</t>
  </si>
  <si>
    <t>Voluntárias do DAS</t>
  </si>
  <si>
    <r>
      <t xml:space="preserve">Governança e Compliance </t>
    </r>
    <r>
      <rPr>
        <sz val="14"/>
        <color rgb="FF002060"/>
        <rFont val="Calibri"/>
        <family val="2"/>
        <scheme val="minor"/>
      </rPr>
      <t>(Presidência)</t>
    </r>
  </si>
  <si>
    <t>Administração Geral</t>
  </si>
  <si>
    <t>Adm. Geral</t>
  </si>
  <si>
    <t>Copa do Centro Administrativo</t>
  </si>
  <si>
    <t>Copa do Centro Administrativo Institucional</t>
  </si>
  <si>
    <t>Eventos Institucionais da Presidência</t>
  </si>
  <si>
    <t>Eventos Institucionais</t>
  </si>
  <si>
    <r>
      <t xml:space="preserve">Relações Esportivas </t>
    </r>
    <r>
      <rPr>
        <sz val="14"/>
        <color rgb="FF002060"/>
        <rFont val="Calibri"/>
        <family val="2"/>
        <scheme val="minor"/>
      </rPr>
      <t>(Diretoria de Área de Relações Esportivas)</t>
    </r>
  </si>
  <si>
    <t>Relações Esportivas</t>
  </si>
  <si>
    <t>Estúdio de Pilates</t>
  </si>
  <si>
    <t>Futebol Base</t>
  </si>
  <si>
    <t>CAD</t>
  </si>
  <si>
    <t>Futebol Menor</t>
  </si>
  <si>
    <t>Administração de Relações Esportivas</t>
  </si>
  <si>
    <t>Futebol Adulto</t>
  </si>
  <si>
    <t>Programa Esporte e Saúde</t>
  </si>
  <si>
    <t>Futsal</t>
  </si>
  <si>
    <t>Jiu-Jítsu</t>
  </si>
  <si>
    <t>Yoga</t>
  </si>
  <si>
    <t>Ginástica Wellness</t>
  </si>
  <si>
    <t>Corrida de Rua</t>
  </si>
  <si>
    <t>Fitness Aquático</t>
  </si>
  <si>
    <t>Karatê</t>
  </si>
  <si>
    <t>Eletroestimulação</t>
  </si>
  <si>
    <t>Ativas ECP</t>
  </si>
  <si>
    <t>Fut 7</t>
  </si>
  <si>
    <t>Futebol Feminino</t>
  </si>
  <si>
    <t>Futebol Soccer Camp</t>
  </si>
  <si>
    <t>Remo Indoor</t>
  </si>
  <si>
    <t>Escola de Boxe</t>
  </si>
  <si>
    <t>Yoga Zen</t>
  </si>
  <si>
    <t>Tae Kwon Do</t>
  </si>
  <si>
    <t>Manutenção dos Campos de Futebol</t>
  </si>
  <si>
    <t>Tai Chi Chuan</t>
  </si>
  <si>
    <t>Futebol Professores</t>
  </si>
  <si>
    <t>Futebol Soccer Academy</t>
  </si>
  <si>
    <r>
      <t xml:space="preserve">Relações Institucionais </t>
    </r>
    <r>
      <rPr>
        <sz val="14"/>
        <color rgb="FF002060"/>
        <rFont val="Calibri"/>
        <family val="2"/>
        <scheme val="minor"/>
      </rPr>
      <t>(Diretoria de Área de Relações Institucionais)</t>
    </r>
  </si>
  <si>
    <t>Relações Institucionais</t>
  </si>
  <si>
    <r>
      <t xml:space="preserve">Social </t>
    </r>
    <r>
      <rPr>
        <sz val="14"/>
        <color rgb="FF002060"/>
        <rFont val="Calibri"/>
        <family val="2"/>
        <scheme val="minor"/>
      </rPr>
      <t>(Diretoria de Área Social)</t>
    </r>
  </si>
  <si>
    <t>Social</t>
  </si>
  <si>
    <t>Veteranos</t>
  </si>
  <si>
    <t>Festa Junina</t>
  </si>
  <si>
    <t>Festas, Eventos e Atividades Sociais</t>
  </si>
  <si>
    <t>Administração do Social</t>
  </si>
  <si>
    <t>Festejos de Aniversário</t>
  </si>
  <si>
    <t xml:space="preserve">Brinquedoteca </t>
  </si>
  <si>
    <t>Réveillon</t>
  </si>
  <si>
    <t>Feijoada Carnavalesca</t>
  </si>
  <si>
    <t>Atividades e Eventos para Crianças</t>
  </si>
  <si>
    <t>Piano's Bar e Karaokê</t>
  </si>
  <si>
    <t>Ressaca da Folia</t>
  </si>
  <si>
    <t>Jantar Dançante</t>
  </si>
  <si>
    <t>Programa de Inclusão Pinheiros</t>
  </si>
  <si>
    <t>Locações Corporativas</t>
  </si>
  <si>
    <t>Parquinho</t>
  </si>
  <si>
    <t>Carteado</t>
  </si>
  <si>
    <t>Matinê Carnavalesca</t>
  </si>
  <si>
    <t>Atividades do Cerimonial</t>
  </si>
  <si>
    <r>
      <t xml:space="preserve">Veteranos </t>
    </r>
    <r>
      <rPr>
        <sz val="14"/>
        <color rgb="FF002060"/>
        <rFont val="Calibri"/>
        <family val="2"/>
        <scheme val="minor"/>
      </rPr>
      <t>(Diretoria de Área Social)</t>
    </r>
  </si>
  <si>
    <t xml:space="preserve">Atividades e Eventos para Veteranos </t>
  </si>
  <si>
    <t xml:space="preserve">Pessoal </t>
  </si>
  <si>
    <t>Utilidades_</t>
  </si>
  <si>
    <t>Futebol PIP</t>
  </si>
  <si>
    <r>
      <t xml:space="preserve">Esportes Aquáticos </t>
    </r>
    <r>
      <rPr>
        <sz val="14"/>
        <color rgb="FF002060"/>
        <rFont val="Calibri"/>
        <family val="2"/>
        <scheme val="minor"/>
      </rPr>
      <t xml:space="preserve">(Diretoria de Área de Esportes Individuais e Aquáticos) </t>
    </r>
  </si>
  <si>
    <r>
      <t xml:space="preserve">Esportes Individuais </t>
    </r>
    <r>
      <rPr>
        <sz val="14"/>
        <color rgb="FF002060"/>
        <rFont val="Calibri"/>
        <family val="2"/>
        <scheme val="minor"/>
      </rPr>
      <t xml:space="preserve">(Diretoria de Área de Esportes Individuais e Aquáticos) </t>
    </r>
  </si>
  <si>
    <r>
      <t xml:space="preserve">DAS - Departamento de Assistência Social </t>
    </r>
    <r>
      <rPr>
        <sz val="14"/>
        <color rgb="FF002060"/>
        <rFont val="Calibri"/>
        <family val="2"/>
        <scheme val="minor"/>
      </rPr>
      <t>(Presidência)</t>
    </r>
  </si>
  <si>
    <r>
      <t xml:space="preserve">Marketing </t>
    </r>
    <r>
      <rPr>
        <sz val="14"/>
        <color rgb="FF002060"/>
        <rFont val="Calibri"/>
        <family val="2"/>
        <scheme val="minor"/>
      </rPr>
      <t>(Diretoria de Área de Marketing)</t>
    </r>
  </si>
  <si>
    <r>
      <t xml:space="preserve">Comunicação </t>
    </r>
    <r>
      <rPr>
        <sz val="14"/>
        <color rgb="FF002060"/>
        <rFont val="Calibri"/>
        <family val="2"/>
        <scheme val="minor"/>
      </rPr>
      <t>(Diretoria de Área de Marketing)</t>
    </r>
  </si>
  <si>
    <t>Real 2024</t>
  </si>
  <si>
    <t>Receitas operacionais</t>
  </si>
  <si>
    <t>Receitas extraordinárias</t>
  </si>
  <si>
    <t>Edificação Quadra CAD</t>
  </si>
  <si>
    <t>ddd</t>
  </si>
  <si>
    <t>Edificação Portaria da Escolinha</t>
  </si>
  <si>
    <t>Edificação Arena CAD</t>
  </si>
  <si>
    <t>Edificação Pista de Skate</t>
  </si>
  <si>
    <t>Edificação Squash</t>
  </si>
  <si>
    <t>Edificação Portaria do Tênis</t>
  </si>
  <si>
    <t>Dir. Área Esportes Individuais e Aquáticos</t>
  </si>
  <si>
    <r>
      <t xml:space="preserve">Adminstração de Esportes </t>
    </r>
    <r>
      <rPr>
        <sz val="14"/>
        <color rgb="FF002060"/>
        <rFont val="Calibri"/>
        <family val="2"/>
        <scheme val="minor"/>
      </rPr>
      <t>(Diretoria de Área de Esportes Coletivos)</t>
    </r>
  </si>
  <si>
    <t>Diretoria de Área</t>
  </si>
  <si>
    <t>Segmento de Orçamento</t>
  </si>
  <si>
    <t>PO 2026</t>
  </si>
  <si>
    <t>31/08</t>
  </si>
  <si>
    <t>CLT</t>
  </si>
  <si>
    <t>Estagiários</t>
  </si>
  <si>
    <t>Total</t>
  </si>
  <si>
    <t>Administrativa</t>
  </si>
  <si>
    <t xml:space="preserve">Central de Atendimento </t>
  </si>
  <si>
    <t>-</t>
  </si>
  <si>
    <t xml:space="preserve">Esportes Coletivos </t>
  </si>
  <si>
    <t xml:space="preserve">Esportes Raquetes </t>
  </si>
  <si>
    <t xml:space="preserve">Comunicação </t>
  </si>
  <si>
    <t xml:space="preserve">Marketing Esportivo </t>
  </si>
  <si>
    <t xml:space="preserve">Serviços Gerais </t>
  </si>
  <si>
    <t xml:space="preserve">Assessoria de Planejamento </t>
  </si>
  <si>
    <t>Adm. Relações Esportivas</t>
  </si>
  <si>
    <t>Esportes Futebol</t>
  </si>
  <si>
    <t xml:space="preserve">Restaurantes </t>
  </si>
  <si>
    <t>Esportes Individuais e Aquáticos</t>
  </si>
  <si>
    <t xml:space="preserve">Restaurantes e Lanchonetes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</si>
</sst>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0.0%;[Red]\-0.0%"/>
    <numFmt numFmtId="165" formatCode="0.00%;[Red]\-0.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5"/>
      <color theme="1"/>
      <name val="Calibri"/>
      <family val="2"/>
      <scheme val="minor"/>
    </font>
    <font>
      <sz val="15"/>
      <name val="Calibri"/>
      <family val="2"/>
      <scheme val="minor"/>
    </font>
    <font>
      <sz val="15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indexed="64"/>
      </right>
      <top style="thin">
        <color indexed="64"/>
      </top>
      <bottom style="thin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4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Border="1"/>
    <xf numFmtId="41" fontId="0" fillId="2" borderId="0" xfId="0" applyNumberFormat="1" applyFont="1" applyFill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4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3" xfId="2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/>
    </xf>
    <xf numFmtId="41" fontId="0" fillId="4" borderId="5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164" fontId="0" fillId="0" borderId="6" xfId="2" applyNumberFormat="1" applyFont="1" applyBorder="1" applyAlignment="1">
      <alignment horizontal="center" vertical="center"/>
    </xf>
    <xf numFmtId="164" fontId="0" fillId="0" borderId="7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indent="1"/>
    </xf>
    <xf numFmtId="0" fontId="0" fillId="0" borderId="6" xfId="0" applyFont="1" applyBorder="1" applyAlignment="1">
      <alignment horizontal="left"/>
    </xf>
    <xf numFmtId="41" fontId="0" fillId="4" borderId="8" xfId="0" applyNumberFormat="1" applyFont="1" applyFill="1" applyBorder="1" applyAlignment="1">
      <alignment horizontal="center" vertical="center"/>
    </xf>
    <xf numFmtId="41" fontId="0" fillId="0" borderId="8" xfId="0" applyNumberFormat="1" applyFont="1" applyFill="1" applyBorder="1" applyAlignment="1">
      <alignment horizontal="center" vertical="center"/>
    </xf>
    <xf numFmtId="164" fontId="0" fillId="0" borderId="9" xfId="2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/>
    </xf>
    <xf numFmtId="164" fontId="7" fillId="0" borderId="9" xfId="2" applyNumberFormat="1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10" xfId="0" applyFont="1" applyFill="1" applyBorder="1" applyAlignment="1">
      <alignment horizontal="left" vertical="top"/>
    </xf>
    <xf numFmtId="41" fontId="8" fillId="4" borderId="11" xfId="0" applyNumberFormat="1" applyFont="1" applyFill="1" applyBorder="1" applyAlignment="1">
      <alignment horizontal="center" vertical="center"/>
    </xf>
    <xf numFmtId="41" fontId="8" fillId="0" borderId="11" xfId="0" applyNumberFormat="1" applyFont="1" applyFill="1" applyBorder="1" applyAlignment="1">
      <alignment horizontal="center" vertical="center"/>
    </xf>
    <xf numFmtId="164" fontId="3" fillId="0" borderId="11" xfId="2" applyNumberFormat="1" applyFont="1" applyFill="1" applyBorder="1" applyAlignment="1">
      <alignment horizontal="center" vertical="center"/>
    </xf>
    <xf numFmtId="164" fontId="8" fillId="0" borderId="11" xfId="2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0" fillId="0" borderId="0" xfId="0" applyFill="1"/>
    <xf numFmtId="41" fontId="0" fillId="0" borderId="0" xfId="0" applyNumberFormat="1"/>
    <xf numFmtId="0" fontId="5" fillId="0" borderId="0" xfId="0" applyFont="1"/>
    <xf numFmtId="41" fontId="4" fillId="0" borderId="0" xfId="0" applyNumberFormat="1" applyFont="1" applyAlignment="1">
      <alignment horizontal="center" vertical="center"/>
    </xf>
    <xf numFmtId="41" fontId="0" fillId="2" borderId="0" xfId="0" applyNumberFormat="1" applyFill="1" applyAlignment="1">
      <alignment horizontal="center" vertical="center"/>
    </xf>
    <xf numFmtId="41" fontId="2" fillId="2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4" xfId="0" applyFont="1" applyBorder="1" applyAlignment="1">
      <alignment horizontal="left"/>
    </xf>
    <xf numFmtId="41" fontId="3" fillId="4" borderId="8" xfId="0" applyNumberFormat="1" applyFont="1" applyFill="1" applyBorder="1" applyAlignment="1">
      <alignment horizontal="center" vertical="center"/>
    </xf>
    <xf numFmtId="41" fontId="3" fillId="0" borderId="8" xfId="0" applyNumberFormat="1" applyFont="1" applyBorder="1" applyAlignment="1">
      <alignment horizontal="center" vertical="center"/>
    </xf>
    <xf numFmtId="41" fontId="3" fillId="0" borderId="9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41" fontId="0" fillId="0" borderId="9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12" xfId="0" applyFont="1" applyFill="1" applyBorder="1" applyAlignment="1">
      <alignment horizontal="left" vertical="top"/>
    </xf>
    <xf numFmtId="41" fontId="3" fillId="4" borderId="13" xfId="0" applyNumberFormat="1" applyFont="1" applyFill="1" applyBorder="1" applyAlignment="1">
      <alignment horizontal="center" vertical="center"/>
    </xf>
    <xf numFmtId="41" fontId="8" fillId="0" borderId="12" xfId="0" applyNumberFormat="1" applyFont="1" applyFill="1" applyBorder="1" applyAlignment="1">
      <alignment horizontal="center" vertical="center"/>
    </xf>
    <xf numFmtId="41" fontId="8" fillId="0" borderId="10" xfId="0" applyNumberFormat="1" applyFont="1" applyFill="1" applyBorder="1" applyAlignment="1">
      <alignment horizontal="center" vertical="center"/>
    </xf>
    <xf numFmtId="41" fontId="0" fillId="0" borderId="0" xfId="0" applyNumberFormat="1" applyFont="1" applyAlignment="1">
      <alignment horizontal="center" vertical="center"/>
    </xf>
    <xf numFmtId="41" fontId="8" fillId="4" borderId="13" xfId="0" applyNumberFormat="1" applyFont="1" applyFill="1" applyBorder="1" applyAlignment="1">
      <alignment horizontal="center" vertical="center"/>
    </xf>
    <xf numFmtId="41" fontId="8" fillId="0" borderId="13" xfId="0" applyNumberFormat="1" applyFont="1" applyFill="1" applyBorder="1" applyAlignment="1">
      <alignment horizontal="center" vertical="center"/>
    </xf>
    <xf numFmtId="41" fontId="3" fillId="4" borderId="5" xfId="0" applyNumberFormat="1" applyFont="1" applyFill="1" applyBorder="1" applyAlignment="1">
      <alignment horizontal="center" vertical="center"/>
    </xf>
    <xf numFmtId="41" fontId="3" fillId="0" borderId="5" xfId="0" applyNumberFormat="1" applyFont="1" applyBorder="1" applyAlignment="1">
      <alignment horizontal="center" vertical="center"/>
    </xf>
    <xf numFmtId="41" fontId="3" fillId="0" borderId="7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left"/>
    </xf>
    <xf numFmtId="41" fontId="0" fillId="4" borderId="15" xfId="0" applyNumberFormat="1" applyFont="1" applyFill="1" applyBorder="1" applyAlignment="1">
      <alignment horizontal="center" vertical="center"/>
    </xf>
    <xf numFmtId="41" fontId="0" fillId="0" borderId="15" xfId="0" applyNumberFormat="1" applyFont="1" applyBorder="1" applyAlignment="1">
      <alignment horizontal="center" vertical="center"/>
    </xf>
    <xf numFmtId="41" fontId="0" fillId="0" borderId="16" xfId="0" applyNumberFormat="1" applyFont="1" applyBorder="1" applyAlignment="1">
      <alignment horizontal="center" vertical="center"/>
    </xf>
    <xf numFmtId="41" fontId="0" fillId="0" borderId="0" xfId="0" applyNumberFormat="1" applyFill="1"/>
    <xf numFmtId="0" fontId="3" fillId="0" borderId="6" xfId="0" applyFont="1" applyBorder="1" applyAlignment="1">
      <alignment horizontal="left"/>
    </xf>
    <xf numFmtId="41" fontId="3" fillId="0" borderId="8" xfId="0" applyNumberFormat="1" applyFont="1" applyFill="1" applyBorder="1" applyAlignment="1">
      <alignment horizontal="center" vertical="center"/>
    </xf>
    <xf numFmtId="41" fontId="3" fillId="0" borderId="9" xfId="0" applyNumberFormat="1" applyFont="1" applyFill="1" applyBorder="1" applyAlignment="1">
      <alignment horizontal="center" vertical="center"/>
    </xf>
    <xf numFmtId="41" fontId="0" fillId="0" borderId="9" xfId="0" applyNumberFormat="1" applyFont="1" applyFill="1" applyBorder="1" applyAlignment="1">
      <alignment horizontal="center" vertical="center"/>
    </xf>
    <xf numFmtId="41" fontId="3" fillId="0" borderId="5" xfId="0" applyNumberFormat="1" applyFont="1" applyFill="1" applyBorder="1" applyAlignment="1">
      <alignment horizontal="center" vertical="center"/>
    </xf>
    <xf numFmtId="41" fontId="3" fillId="0" borderId="7" xfId="0" applyNumberFormat="1" applyFont="1" applyFill="1" applyBorder="1" applyAlignment="1">
      <alignment horizontal="center" vertical="center"/>
    </xf>
    <xf numFmtId="41" fontId="0" fillId="0" borderId="15" xfId="0" applyNumberFormat="1" applyFont="1" applyFill="1" applyBorder="1" applyAlignment="1">
      <alignment horizontal="center" vertical="center"/>
    </xf>
    <xf numFmtId="41" fontId="0" fillId="4" borderId="17" xfId="0" applyNumberFormat="1" applyFont="1" applyFill="1" applyBorder="1" applyAlignment="1">
      <alignment horizontal="center" vertical="center"/>
    </xf>
    <xf numFmtId="41" fontId="0" fillId="0" borderId="17" xfId="0" applyNumberFormat="1" applyFont="1" applyFill="1" applyBorder="1" applyAlignment="1">
      <alignment horizontal="center" vertical="center"/>
    </xf>
    <xf numFmtId="41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8" fillId="0" borderId="0" xfId="0" applyFont="1" applyFill="1" applyBorder="1" applyAlignment="1">
      <alignment horizontal="left" vertical="top"/>
    </xf>
    <xf numFmtId="41" fontId="8" fillId="5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indent="3"/>
    </xf>
    <xf numFmtId="41" fontId="0" fillId="0" borderId="6" xfId="0" applyNumberFormat="1" applyFont="1" applyBorder="1" applyAlignment="1">
      <alignment horizontal="center" vertical="center"/>
    </xf>
    <xf numFmtId="41" fontId="3" fillId="0" borderId="6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41" fontId="0" fillId="0" borderId="20" xfId="0" applyNumberFormat="1" applyFont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indent="2"/>
    </xf>
    <xf numFmtId="41" fontId="0" fillId="0" borderId="7" xfId="0" applyNumberFormat="1" applyFont="1" applyBorder="1" applyAlignment="1">
      <alignment horizontal="center" vertical="center"/>
    </xf>
    <xf numFmtId="41" fontId="8" fillId="4" borderId="8" xfId="0" applyNumberFormat="1" applyFont="1" applyFill="1" applyBorder="1" applyAlignment="1">
      <alignment horizontal="center" vertical="center"/>
    </xf>
    <xf numFmtId="41" fontId="7" fillId="4" borderId="8" xfId="0" applyNumberFormat="1" applyFont="1" applyFill="1" applyBorder="1" applyAlignment="1">
      <alignment horizontal="center" vertical="center"/>
    </xf>
    <xf numFmtId="41" fontId="8" fillId="4" borderId="5" xfId="0" applyNumberFormat="1" applyFont="1" applyFill="1" applyBorder="1" applyAlignment="1">
      <alignment horizontal="center" vertical="center"/>
    </xf>
    <xf numFmtId="41" fontId="0" fillId="0" borderId="16" xfId="0" applyNumberFormat="1" applyFont="1" applyFill="1" applyBorder="1" applyAlignment="1">
      <alignment horizontal="center" vertical="center"/>
    </xf>
    <xf numFmtId="0" fontId="0" fillId="0" borderId="0" xfId="0" applyAlignment="1"/>
    <xf numFmtId="41" fontId="7" fillId="4" borderId="15" xfId="0" applyNumberFormat="1" applyFont="1" applyFill="1" applyBorder="1" applyAlignment="1">
      <alignment horizontal="center" vertical="center"/>
    </xf>
    <xf numFmtId="41" fontId="0" fillId="0" borderId="0" xfId="0" applyNumberFormat="1" applyFill="1" applyAlignment="1">
      <alignment horizontal="center" vertical="center"/>
    </xf>
    <xf numFmtId="41" fontId="7" fillId="4" borderId="5" xfId="0" applyNumberFormat="1" applyFont="1" applyFill="1" applyBorder="1" applyAlignment="1">
      <alignment horizontal="center" vertical="center"/>
    </xf>
    <xf numFmtId="41" fontId="0" fillId="0" borderId="17" xfId="0" applyNumberFormat="1" applyFont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41" fontId="0" fillId="0" borderId="0" xfId="0" applyNumberFormat="1" applyBorder="1" applyAlignment="1">
      <alignment horizontal="center" vertical="center"/>
    </xf>
    <xf numFmtId="0" fontId="6" fillId="3" borderId="0" xfId="0" applyFont="1" applyFill="1"/>
    <xf numFmtId="0" fontId="3" fillId="0" borderId="20" xfId="0" applyFont="1" applyBorder="1" applyAlignment="1">
      <alignment horizontal="left"/>
    </xf>
    <xf numFmtId="41" fontId="0" fillId="0" borderId="5" xfId="0" applyNumberFormat="1" applyFont="1" applyBorder="1" applyAlignment="1">
      <alignment horizontal="center" vertical="center"/>
    </xf>
    <xf numFmtId="0" fontId="6" fillId="6" borderId="0" xfId="0" applyFont="1" applyFill="1" applyAlignment="1">
      <alignment horizontal="left" indent="3"/>
    </xf>
    <xf numFmtId="41" fontId="2" fillId="2" borderId="5" xfId="0" applyNumberFormat="1" applyFont="1" applyFill="1" applyBorder="1" applyAlignment="1">
      <alignment horizontal="center" vertical="center" wrapText="1"/>
    </xf>
    <xf numFmtId="41" fontId="2" fillId="2" borderId="7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1" fontId="0" fillId="0" borderId="7" xfId="0" applyNumberFormat="1" applyFont="1" applyFill="1" applyBorder="1" applyAlignment="1">
      <alignment horizontal="center" vertical="center"/>
    </xf>
    <xf numFmtId="0" fontId="0" fillId="0" borderId="2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41" fontId="4" fillId="0" borderId="0" xfId="0" applyNumberFormat="1" applyFont="1" applyBorder="1" applyAlignment="1">
      <alignment horizontal="center" vertical="center"/>
    </xf>
    <xf numFmtId="41" fontId="0" fillId="2" borderId="0" xfId="0" applyNumberFormat="1" applyFill="1" applyBorder="1" applyAlignment="1">
      <alignment horizontal="center" vertical="center"/>
    </xf>
    <xf numFmtId="41" fontId="0" fillId="2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indent="4"/>
    </xf>
    <xf numFmtId="0" fontId="0" fillId="0" borderId="1" xfId="0" applyFont="1" applyBorder="1" applyAlignment="1">
      <alignment horizontal="left"/>
    </xf>
    <xf numFmtId="41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41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41" fontId="0" fillId="5" borderId="8" xfId="0" applyNumberFormat="1" applyFont="1" applyFill="1" applyBorder="1" applyAlignment="1">
      <alignment horizontal="center" vertical="center"/>
    </xf>
    <xf numFmtId="41" fontId="0" fillId="5" borderId="9" xfId="0" applyNumberFormat="1" applyFont="1" applyFill="1" applyBorder="1" applyAlignment="1">
      <alignment horizontal="center" vertical="center"/>
    </xf>
    <xf numFmtId="164" fontId="8" fillId="0" borderId="23" xfId="2" applyNumberFormat="1" applyFont="1" applyFill="1" applyBorder="1" applyAlignment="1">
      <alignment horizontal="center" vertical="center"/>
    </xf>
    <xf numFmtId="164" fontId="3" fillId="0" borderId="22" xfId="2" applyNumberFormat="1" applyFont="1" applyBorder="1" applyAlignment="1">
      <alignment horizontal="center" vertical="center"/>
    </xf>
    <xf numFmtId="164" fontId="3" fillId="0" borderId="23" xfId="2" applyNumberFormat="1" applyFont="1" applyFill="1" applyBorder="1" applyAlignment="1">
      <alignment horizontal="center" vertical="center"/>
    </xf>
    <xf numFmtId="164" fontId="0" fillId="0" borderId="5" xfId="2" applyNumberFormat="1" applyFont="1" applyBorder="1" applyAlignment="1">
      <alignment horizontal="center" vertical="center"/>
    </xf>
    <xf numFmtId="164" fontId="0" fillId="0" borderId="15" xfId="2" applyNumberFormat="1" applyFont="1" applyBorder="1" applyAlignment="1">
      <alignment horizontal="center" vertical="center"/>
    </xf>
    <xf numFmtId="164" fontId="0" fillId="0" borderId="5" xfId="2" applyNumberFormat="1" applyFont="1" applyFill="1" applyBorder="1" applyAlignment="1">
      <alignment horizontal="center" vertical="center"/>
    </xf>
    <xf numFmtId="164" fontId="0" fillId="0" borderId="15" xfId="2" applyNumberFormat="1" applyFont="1" applyFill="1" applyBorder="1" applyAlignment="1">
      <alignment horizontal="center" vertical="center"/>
    </xf>
    <xf numFmtId="164" fontId="0" fillId="0" borderId="8" xfId="2" applyNumberFormat="1" applyFont="1" applyBorder="1" applyAlignment="1">
      <alignment horizontal="center" vertical="center"/>
    </xf>
    <xf numFmtId="164" fontId="0" fillId="0" borderId="8" xfId="2" applyNumberFormat="1" applyFont="1" applyFill="1" applyBorder="1" applyAlignment="1">
      <alignment horizontal="center" vertical="center"/>
    </xf>
    <xf numFmtId="164" fontId="3" fillId="0" borderId="6" xfId="2" applyNumberFormat="1" applyFont="1" applyBorder="1" applyAlignment="1">
      <alignment horizontal="center" vertical="center"/>
    </xf>
    <xf numFmtId="164" fontId="3" fillId="0" borderId="9" xfId="2" applyNumberFormat="1" applyFont="1" applyFill="1" applyBorder="1" applyAlignment="1">
      <alignment horizontal="center" vertical="center"/>
    </xf>
    <xf numFmtId="164" fontId="3" fillId="0" borderId="5" xfId="2" applyNumberFormat="1" applyFont="1" applyBorder="1" applyAlignment="1">
      <alignment horizontal="center" vertical="center"/>
    </xf>
    <xf numFmtId="164" fontId="3" fillId="0" borderId="5" xfId="2" applyNumberFormat="1" applyFont="1" applyFill="1" applyBorder="1" applyAlignment="1">
      <alignment horizontal="center" vertical="center"/>
    </xf>
    <xf numFmtId="164" fontId="3" fillId="0" borderId="7" xfId="2" applyNumberFormat="1" applyFont="1" applyFill="1" applyBorder="1" applyAlignment="1">
      <alignment horizontal="center" vertical="center"/>
    </xf>
    <xf numFmtId="164" fontId="7" fillId="0" borderId="5" xfId="2" applyNumberFormat="1" applyFont="1" applyFill="1" applyBorder="1" applyAlignment="1">
      <alignment horizontal="center" vertical="center"/>
    </xf>
    <xf numFmtId="164" fontId="7" fillId="0" borderId="15" xfId="2" applyNumberFormat="1" applyFont="1" applyFill="1" applyBorder="1" applyAlignment="1">
      <alignment horizontal="center" vertical="center"/>
    </xf>
    <xf numFmtId="164" fontId="7" fillId="0" borderId="8" xfId="2" applyNumberFormat="1" applyFont="1" applyFill="1" applyBorder="1" applyAlignment="1">
      <alignment horizontal="center" vertical="center"/>
    </xf>
    <xf numFmtId="164" fontId="8" fillId="0" borderId="5" xfId="2" applyNumberFormat="1" applyFont="1" applyFill="1" applyBorder="1" applyAlignment="1">
      <alignment horizontal="center" vertical="center"/>
    </xf>
    <xf numFmtId="164" fontId="8" fillId="0" borderId="9" xfId="2" applyNumberFormat="1" applyFont="1" applyFill="1" applyBorder="1" applyAlignment="1">
      <alignment horizontal="center" vertical="center"/>
    </xf>
    <xf numFmtId="164" fontId="0" fillId="0" borderId="22" xfId="2" applyNumberFormat="1" applyFont="1" applyBorder="1" applyAlignment="1">
      <alignment horizontal="center" vertical="center"/>
    </xf>
    <xf numFmtId="164" fontId="0" fillId="0" borderId="23" xfId="2" applyNumberFormat="1" applyFont="1" applyFill="1" applyBorder="1" applyAlignment="1">
      <alignment horizontal="center" vertical="center"/>
    </xf>
    <xf numFmtId="164" fontId="0" fillId="5" borderId="6" xfId="2" applyNumberFormat="1" applyFont="1" applyFill="1" applyBorder="1" applyAlignment="1">
      <alignment horizontal="center" vertical="center"/>
    </xf>
    <xf numFmtId="41" fontId="8" fillId="5" borderId="13" xfId="0" applyNumberFormat="1" applyFont="1" applyFill="1" applyBorder="1" applyAlignment="1">
      <alignment horizontal="center" vertical="center"/>
    </xf>
    <xf numFmtId="41" fontId="8" fillId="5" borderId="11" xfId="0" applyNumberFormat="1" applyFont="1" applyFill="1" applyBorder="1" applyAlignment="1">
      <alignment horizontal="center" vertical="center"/>
    </xf>
    <xf numFmtId="41" fontId="8" fillId="5" borderId="10" xfId="0" applyNumberFormat="1" applyFont="1" applyFill="1" applyBorder="1" applyAlignment="1">
      <alignment horizontal="center" vertical="center"/>
    </xf>
    <xf numFmtId="164" fontId="3" fillId="5" borderId="24" xfId="2" applyNumberFormat="1" applyFont="1" applyFill="1" applyBorder="1" applyAlignment="1">
      <alignment horizontal="center" vertical="center"/>
    </xf>
    <xf numFmtId="164" fontId="3" fillId="5" borderId="22" xfId="2" applyNumberFormat="1" applyFont="1" applyFill="1" applyBorder="1" applyAlignment="1">
      <alignment horizontal="center" vertical="center"/>
    </xf>
    <xf numFmtId="41" fontId="3" fillId="5" borderId="8" xfId="0" applyNumberFormat="1" applyFont="1" applyFill="1" applyBorder="1" applyAlignment="1">
      <alignment horizontal="center" vertical="center"/>
    </xf>
    <xf numFmtId="41" fontId="3" fillId="5" borderId="12" xfId="0" applyNumberFormat="1" applyFont="1" applyFill="1" applyBorder="1" applyAlignment="1">
      <alignment horizontal="center" vertical="center"/>
    </xf>
    <xf numFmtId="41" fontId="3" fillId="5" borderId="13" xfId="0" applyNumberFormat="1" applyFont="1" applyFill="1" applyBorder="1" applyAlignment="1">
      <alignment horizontal="center" vertical="center"/>
    </xf>
    <xf numFmtId="41" fontId="8" fillId="5" borderId="12" xfId="0" applyNumberFormat="1" applyFont="1" applyFill="1" applyBorder="1" applyAlignment="1">
      <alignment horizontal="center" vertical="center"/>
    </xf>
    <xf numFmtId="41" fontId="3" fillId="5" borderId="5" xfId="0" applyNumberFormat="1" applyFont="1" applyFill="1" applyBorder="1" applyAlignment="1">
      <alignment horizontal="center" vertical="center"/>
    </xf>
    <xf numFmtId="41" fontId="0" fillId="5" borderId="15" xfId="0" applyNumberFormat="1" applyFont="1" applyFill="1" applyBorder="1" applyAlignment="1">
      <alignment horizontal="center" vertical="center"/>
    </xf>
    <xf numFmtId="41" fontId="0" fillId="5" borderId="5" xfId="0" applyNumberFormat="1" applyFont="1" applyFill="1" applyBorder="1" applyAlignment="1">
      <alignment horizontal="center" vertical="center"/>
    </xf>
    <xf numFmtId="41" fontId="0" fillId="5" borderId="0" xfId="0" applyNumberFormat="1" applyFont="1" applyFill="1" applyAlignment="1">
      <alignment horizontal="center" vertical="center"/>
    </xf>
    <xf numFmtId="41" fontId="7" fillId="5" borderId="8" xfId="0" applyNumberFormat="1" applyFont="1" applyFill="1" applyBorder="1" applyAlignment="1">
      <alignment horizontal="center" vertical="center"/>
    </xf>
    <xf numFmtId="41" fontId="8" fillId="5" borderId="8" xfId="0" applyNumberFormat="1" applyFont="1" applyFill="1" applyBorder="1" applyAlignment="1">
      <alignment horizontal="center" vertical="center"/>
    </xf>
    <xf numFmtId="41" fontId="8" fillId="5" borderId="5" xfId="0" applyNumberFormat="1" applyFont="1" applyFill="1" applyBorder="1" applyAlignment="1">
      <alignment horizontal="center" vertical="center"/>
    </xf>
    <xf numFmtId="41" fontId="7" fillId="5" borderId="5" xfId="0" applyNumberFormat="1" applyFont="1" applyFill="1" applyBorder="1" applyAlignment="1">
      <alignment horizontal="center" vertical="center"/>
    </xf>
    <xf numFmtId="41" fontId="7" fillId="5" borderId="15" xfId="0" applyNumberFormat="1" applyFont="1" applyFill="1" applyBorder="1" applyAlignment="1">
      <alignment horizontal="center" vertical="center"/>
    </xf>
    <xf numFmtId="41" fontId="0" fillId="5" borderId="17" xfId="0" applyNumberFormat="1" applyFont="1" applyFill="1" applyBorder="1" applyAlignment="1">
      <alignment horizontal="center" vertical="center"/>
    </xf>
    <xf numFmtId="0" fontId="13" fillId="0" borderId="0" xfId="0" applyFont="1"/>
    <xf numFmtId="41" fontId="15" fillId="2" borderId="0" xfId="0" applyNumberFormat="1" applyFont="1" applyFill="1" applyAlignment="1">
      <alignment horizontal="center" vertical="center"/>
    </xf>
    <xf numFmtId="0" fontId="15" fillId="0" borderId="0" xfId="0" applyFont="1"/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5" borderId="2" xfId="0" applyFont="1" applyFill="1" applyBorder="1" applyAlignment="1">
      <alignment horizontal="right"/>
    </xf>
    <xf numFmtId="0" fontId="15" fillId="5" borderId="2" xfId="0" applyFont="1" applyFill="1" applyBorder="1" applyAlignment="1">
      <alignment horizontal="left"/>
    </xf>
    <xf numFmtId="0" fontId="15" fillId="0" borderId="14" xfId="0" applyFont="1" applyBorder="1" applyAlignment="1">
      <alignment horizontal="left"/>
    </xf>
    <xf numFmtId="0" fontId="15" fillId="0" borderId="25" xfId="0" applyFont="1" applyFill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5" fillId="5" borderId="0" xfId="0" applyFont="1" applyFill="1" applyAlignment="1">
      <alignment horizontal="center"/>
    </xf>
    <xf numFmtId="0" fontId="0" fillId="5" borderId="0" xfId="0" applyFill="1"/>
    <xf numFmtId="0" fontId="15" fillId="0" borderId="6" xfId="0" applyFont="1" applyBorder="1" applyAlignment="1">
      <alignment horizontal="left"/>
    </xf>
    <xf numFmtId="0" fontId="14" fillId="2" borderId="10" xfId="0" applyFont="1" applyFill="1" applyBorder="1" applyAlignment="1">
      <alignment horizontal="left" vertical="top"/>
    </xf>
    <xf numFmtId="41" fontId="14" fillId="2" borderId="11" xfId="0" applyNumberFormat="1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left"/>
    </xf>
    <xf numFmtId="41" fontId="15" fillId="0" borderId="26" xfId="0" applyNumberFormat="1" applyFont="1" applyFill="1" applyBorder="1" applyAlignment="1">
      <alignment horizontal="center" vertical="center"/>
    </xf>
    <xf numFmtId="0" fontId="15" fillId="0" borderId="27" xfId="0" applyFont="1" applyBorder="1"/>
    <xf numFmtId="0" fontId="15" fillId="0" borderId="19" xfId="0" applyFont="1" applyBorder="1"/>
    <xf numFmtId="0" fontId="15" fillId="0" borderId="19" xfId="0" applyFont="1" applyFill="1" applyBorder="1" applyAlignment="1">
      <alignment horizontal="left"/>
    </xf>
    <xf numFmtId="41" fontId="15" fillId="0" borderId="19" xfId="0" applyNumberFormat="1" applyFont="1" applyFill="1" applyBorder="1" applyAlignment="1">
      <alignment horizontal="center" vertical="center"/>
    </xf>
    <xf numFmtId="41" fontId="15" fillId="0" borderId="19" xfId="0" applyNumberFormat="1" applyFont="1" applyBorder="1" applyAlignment="1">
      <alignment horizontal="center" vertical="center"/>
    </xf>
    <xf numFmtId="0" fontId="17" fillId="2" borderId="1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center"/>
    </xf>
    <xf numFmtId="0" fontId="12" fillId="0" borderId="0" xfId="0" applyFont="1"/>
    <xf numFmtId="0" fontId="15" fillId="5" borderId="27" xfId="0" applyFont="1" applyFill="1" applyBorder="1" applyAlignment="1">
      <alignment horizontal="left"/>
    </xf>
    <xf numFmtId="41" fontId="16" fillId="5" borderId="2" xfId="0" applyNumberFormat="1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/>
    </xf>
    <xf numFmtId="0" fontId="15" fillId="0" borderId="4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41" fontId="14" fillId="2" borderId="1" xfId="0" applyNumberFormat="1" applyFont="1" applyFill="1" applyBorder="1" applyAlignment="1">
      <alignment horizontal="center" vertical="center"/>
    </xf>
    <xf numFmtId="0" fontId="15" fillId="0" borderId="25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41" fontId="0" fillId="4" borderId="8" xfId="0" applyNumberFormat="1" applyFont="1" applyFill="1" applyBorder="1" applyAlignment="1">
      <alignment horizontal="right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M43"/>
  <sheetViews>
    <sheetView showGridLines="0" showRowColHeaders="0" tabSelected="1" zoomScale="80" zoomScaleNormal="80" zoomScaleSheetLayoutView="80" workbookViewId="0">
      <selection activeCell="K49" sqref="K49"/>
    </sheetView>
  </sheetViews>
  <sheetFormatPr defaultColWidth="8.88671875" defaultRowHeight="14.4" x14ac:dyDescent="0.3"/>
  <cols>
    <col min="2" max="2" width="45.6640625" customWidth="1"/>
    <col min="3" max="3" width="51.6640625" customWidth="1"/>
    <col min="4" max="4" width="12.44140625" style="5" customWidth="1"/>
    <col min="5" max="5" width="1.5546875" customWidth="1"/>
    <col min="6" max="6" width="10.6640625" style="5" customWidth="1"/>
    <col min="7" max="8" width="14.5546875" style="5" customWidth="1"/>
  </cols>
  <sheetData>
    <row r="1" spans="2:9" s="1" customFormat="1" ht="18" x14ac:dyDescent="0.35">
      <c r="B1" s="161"/>
      <c r="C1" s="2"/>
      <c r="D1" s="3"/>
      <c r="F1" s="3"/>
      <c r="G1" s="3"/>
      <c r="H1" s="3"/>
    </row>
    <row r="3" spans="2:9" ht="19.8" x14ac:dyDescent="0.4">
      <c r="B3" s="198" t="s">
        <v>394</v>
      </c>
      <c r="C3" s="198" t="s">
        <v>395</v>
      </c>
      <c r="D3" s="162"/>
      <c r="E3" s="163"/>
      <c r="F3" s="200" t="s">
        <v>396</v>
      </c>
      <c r="G3" s="200"/>
      <c r="H3" s="200"/>
    </row>
    <row r="4" spans="2:9" ht="19.8" x14ac:dyDescent="0.4">
      <c r="B4" s="199"/>
      <c r="C4" s="199"/>
      <c r="D4" s="164" t="s">
        <v>397</v>
      </c>
      <c r="E4" s="163"/>
      <c r="F4" s="165" t="s">
        <v>398</v>
      </c>
      <c r="G4" s="166" t="s">
        <v>399</v>
      </c>
      <c r="H4" s="166" t="s">
        <v>400</v>
      </c>
    </row>
    <row r="5" spans="2:9" ht="19.8" x14ac:dyDescent="0.4">
      <c r="B5" s="192" t="s">
        <v>401</v>
      </c>
      <c r="C5" s="169" t="s">
        <v>402</v>
      </c>
      <c r="D5" s="168">
        <f>26+1</f>
        <v>27</v>
      </c>
      <c r="E5" s="174"/>
      <c r="F5" s="168">
        <v>31</v>
      </c>
      <c r="G5" s="168">
        <v>3</v>
      </c>
      <c r="H5" s="168">
        <f>SUM(F5:G5)</f>
        <v>34</v>
      </c>
    </row>
    <row r="6" spans="2:9" ht="19.8" x14ac:dyDescent="0.4">
      <c r="B6" s="197"/>
      <c r="C6" s="169" t="s">
        <v>47</v>
      </c>
      <c r="D6" s="168">
        <v>3</v>
      </c>
      <c r="E6" s="174"/>
      <c r="F6" s="168">
        <v>3</v>
      </c>
      <c r="G6" s="168" t="s">
        <v>403</v>
      </c>
      <c r="H6" s="168">
        <f t="shared" ref="H6:H36" si="0">SUM(F6:G6)</f>
        <v>3</v>
      </c>
      <c r="I6" s="33"/>
    </row>
    <row r="7" spans="2:9" ht="19.8" x14ac:dyDescent="0.4">
      <c r="B7" s="197"/>
      <c r="C7" s="169" t="s">
        <v>48</v>
      </c>
      <c r="D7" s="168">
        <f>57+4</f>
        <v>61</v>
      </c>
      <c r="E7" s="174"/>
      <c r="F7" s="168">
        <v>56</v>
      </c>
      <c r="G7" s="168">
        <v>5</v>
      </c>
      <c r="H7" s="168">
        <f t="shared" si="0"/>
        <v>61</v>
      </c>
      <c r="I7" s="33"/>
    </row>
    <row r="8" spans="2:9" ht="19.8" x14ac:dyDescent="0.4">
      <c r="B8" s="197"/>
      <c r="C8" s="169" t="s">
        <v>49</v>
      </c>
      <c r="D8" s="168">
        <f>21+36</f>
        <v>57</v>
      </c>
      <c r="E8" s="174"/>
      <c r="F8" s="168">
        <f>24+47</f>
        <v>71</v>
      </c>
      <c r="G8" s="168" t="s">
        <v>403</v>
      </c>
      <c r="H8" s="168">
        <f t="shared" si="0"/>
        <v>71</v>
      </c>
      <c r="I8" s="33"/>
    </row>
    <row r="9" spans="2:9" ht="19.8" x14ac:dyDescent="0.4">
      <c r="B9" s="193"/>
      <c r="C9" s="169" t="s">
        <v>50</v>
      </c>
      <c r="D9" s="168">
        <f>144+7</f>
        <v>151</v>
      </c>
      <c r="E9" s="174"/>
      <c r="F9" s="168">
        <v>156</v>
      </c>
      <c r="G9" s="168">
        <v>8</v>
      </c>
      <c r="H9" s="168">
        <f t="shared" si="0"/>
        <v>164</v>
      </c>
      <c r="I9" s="33"/>
    </row>
    <row r="10" spans="2:9" ht="19.8" x14ac:dyDescent="0.4">
      <c r="B10" s="170" t="s">
        <v>14</v>
      </c>
      <c r="C10" s="169" t="s">
        <v>14</v>
      </c>
      <c r="D10" s="168">
        <v>4</v>
      </c>
      <c r="E10" s="174"/>
      <c r="F10" s="168">
        <v>5</v>
      </c>
      <c r="G10" s="168" t="s">
        <v>403</v>
      </c>
      <c r="H10" s="168">
        <f t="shared" si="0"/>
        <v>5</v>
      </c>
      <c r="I10" s="33"/>
    </row>
    <row r="11" spans="2:9" ht="19.8" x14ac:dyDescent="0.4">
      <c r="B11" s="170" t="s">
        <v>107</v>
      </c>
      <c r="C11" s="169" t="s">
        <v>107</v>
      </c>
      <c r="D11" s="168">
        <f>70+17</f>
        <v>87</v>
      </c>
      <c r="E11" s="174"/>
      <c r="F11" s="168">
        <f>69+1</f>
        <v>70</v>
      </c>
      <c r="G11" s="168">
        <v>20</v>
      </c>
      <c r="H11" s="168">
        <f t="shared" si="0"/>
        <v>90</v>
      </c>
      <c r="I11" s="33"/>
    </row>
    <row r="12" spans="2:9" ht="19.8" x14ac:dyDescent="0.4">
      <c r="B12" s="201" t="s">
        <v>413</v>
      </c>
      <c r="C12" s="169" t="s">
        <v>121</v>
      </c>
      <c r="D12" s="168">
        <f>39+2</f>
        <v>41</v>
      </c>
      <c r="E12" s="174"/>
      <c r="F12" s="168">
        <v>41</v>
      </c>
      <c r="G12" s="168">
        <v>2</v>
      </c>
      <c r="H12" s="168">
        <f t="shared" si="0"/>
        <v>43</v>
      </c>
      <c r="I12" s="33"/>
    </row>
    <row r="13" spans="2:9" ht="19.8" x14ac:dyDescent="0.4">
      <c r="B13" s="201"/>
      <c r="C13" s="169" t="s">
        <v>120</v>
      </c>
      <c r="D13" s="168">
        <f>54+4</f>
        <v>58</v>
      </c>
      <c r="E13" s="174"/>
      <c r="F13" s="168">
        <v>49</v>
      </c>
      <c r="G13" s="168">
        <v>4</v>
      </c>
      <c r="H13" s="168">
        <f t="shared" si="0"/>
        <v>53</v>
      </c>
      <c r="I13" s="33"/>
    </row>
    <row r="14" spans="2:9" ht="19.8" x14ac:dyDescent="0.4">
      <c r="B14" s="171" t="s">
        <v>149</v>
      </c>
      <c r="C14" s="169" t="s">
        <v>149</v>
      </c>
      <c r="D14" s="168">
        <v>20</v>
      </c>
      <c r="E14" s="174"/>
      <c r="F14" s="168">
        <f>21+2</f>
        <v>23</v>
      </c>
      <c r="G14" s="168">
        <v>1</v>
      </c>
      <c r="H14" s="168">
        <f t="shared" si="0"/>
        <v>24</v>
      </c>
      <c r="I14" s="33"/>
    </row>
    <row r="15" spans="2:9" ht="19.8" x14ac:dyDescent="0.4">
      <c r="B15" s="192" t="s">
        <v>404</v>
      </c>
      <c r="C15" s="169" t="s">
        <v>171</v>
      </c>
      <c r="D15" s="168">
        <f>31+5</f>
        <v>36</v>
      </c>
      <c r="E15" s="174"/>
      <c r="F15" s="168">
        <f>34+1</f>
        <v>35</v>
      </c>
      <c r="G15" s="168">
        <v>5</v>
      </c>
      <c r="H15" s="168">
        <f t="shared" si="0"/>
        <v>40</v>
      </c>
      <c r="I15" s="33"/>
    </row>
    <row r="16" spans="2:9" ht="19.8" x14ac:dyDescent="0.4">
      <c r="B16" s="193"/>
      <c r="C16" s="169" t="s">
        <v>172</v>
      </c>
      <c r="D16" s="168">
        <f>35+6</f>
        <v>41</v>
      </c>
      <c r="E16" s="174"/>
      <c r="F16" s="168">
        <f>42+1</f>
        <v>43</v>
      </c>
      <c r="G16" s="168">
        <v>7</v>
      </c>
      <c r="H16" s="168">
        <f t="shared" si="0"/>
        <v>50</v>
      </c>
      <c r="I16" s="33"/>
    </row>
    <row r="17" spans="2:13" ht="19.8" x14ac:dyDescent="0.4">
      <c r="B17" s="172" t="s">
        <v>405</v>
      </c>
      <c r="C17" s="169" t="s">
        <v>184</v>
      </c>
      <c r="D17" s="168">
        <f>42+15</f>
        <v>57</v>
      </c>
      <c r="E17" s="174"/>
      <c r="F17" s="168">
        <v>44</v>
      </c>
      <c r="G17" s="168">
        <v>16</v>
      </c>
      <c r="H17" s="168">
        <f t="shared" si="0"/>
        <v>60</v>
      </c>
      <c r="I17" s="33"/>
    </row>
    <row r="18" spans="2:13" ht="19.8" x14ac:dyDescent="0.4">
      <c r="B18" s="192" t="s">
        <v>199</v>
      </c>
      <c r="C18" s="169" t="s">
        <v>199</v>
      </c>
      <c r="D18" s="168">
        <v>45</v>
      </c>
      <c r="E18" s="174"/>
      <c r="F18" s="168">
        <v>44</v>
      </c>
      <c r="G18" s="168" t="s">
        <v>403</v>
      </c>
      <c r="H18" s="168">
        <f t="shared" si="0"/>
        <v>44</v>
      </c>
      <c r="I18" s="33"/>
    </row>
    <row r="19" spans="2:13" ht="19.8" x14ac:dyDescent="0.4">
      <c r="B19" s="193"/>
      <c r="C19" s="169" t="s">
        <v>200</v>
      </c>
      <c r="D19" s="168">
        <v>35</v>
      </c>
      <c r="E19" s="174"/>
      <c r="F19" s="168">
        <f>29+2</f>
        <v>31</v>
      </c>
      <c r="G19" s="168">
        <v>1</v>
      </c>
      <c r="H19" s="168">
        <f t="shared" si="0"/>
        <v>32</v>
      </c>
      <c r="I19" s="33"/>
    </row>
    <row r="20" spans="2:13" ht="19.8" x14ac:dyDescent="0.4">
      <c r="B20" s="173" t="s">
        <v>215</v>
      </c>
      <c r="C20" s="169" t="s">
        <v>215</v>
      </c>
      <c r="D20" s="168">
        <v>5</v>
      </c>
      <c r="E20" s="174"/>
      <c r="F20" s="168">
        <v>5</v>
      </c>
      <c r="G20" s="168" t="s">
        <v>403</v>
      </c>
      <c r="H20" s="168">
        <f t="shared" si="0"/>
        <v>5</v>
      </c>
    </row>
    <row r="21" spans="2:13" ht="19.8" x14ac:dyDescent="0.4">
      <c r="B21" s="194" t="s">
        <v>217</v>
      </c>
      <c r="C21" s="169" t="s">
        <v>406</v>
      </c>
      <c r="D21" s="168">
        <f>13+2</f>
        <v>15</v>
      </c>
      <c r="E21" s="191"/>
      <c r="F21" s="168">
        <v>13</v>
      </c>
      <c r="G21" s="168">
        <v>3</v>
      </c>
      <c r="H21" s="168">
        <f t="shared" si="0"/>
        <v>16</v>
      </c>
    </row>
    <row r="22" spans="2:13" ht="19.8" x14ac:dyDescent="0.4">
      <c r="B22" s="195"/>
      <c r="C22" s="169" t="s">
        <v>220</v>
      </c>
      <c r="D22" s="168">
        <v>3</v>
      </c>
      <c r="E22" s="174"/>
      <c r="F22" s="168">
        <v>3</v>
      </c>
      <c r="G22" s="168" t="s">
        <v>403</v>
      </c>
      <c r="H22" s="168">
        <f t="shared" si="0"/>
        <v>3</v>
      </c>
      <c r="I22" s="175"/>
      <c r="J22" s="175"/>
      <c r="K22" s="175"/>
      <c r="L22" s="175"/>
      <c r="M22" s="175"/>
    </row>
    <row r="23" spans="2:13" ht="19.8" x14ac:dyDescent="0.4">
      <c r="B23" s="196"/>
      <c r="C23" s="169" t="s">
        <v>407</v>
      </c>
      <c r="D23" s="168">
        <v>7</v>
      </c>
      <c r="E23" s="174"/>
      <c r="F23" s="168">
        <v>8</v>
      </c>
      <c r="G23" s="168" t="s">
        <v>403</v>
      </c>
      <c r="H23" s="168">
        <f t="shared" si="0"/>
        <v>8</v>
      </c>
    </row>
    <row r="24" spans="2:13" ht="19.8" x14ac:dyDescent="0.4">
      <c r="B24" s="170" t="s">
        <v>408</v>
      </c>
      <c r="C24" s="169" t="s">
        <v>223</v>
      </c>
      <c r="D24" s="168">
        <v>204</v>
      </c>
      <c r="E24" s="174"/>
      <c r="F24" s="168">
        <f>204+12</f>
        <v>216</v>
      </c>
      <c r="G24" s="168" t="s">
        <v>403</v>
      </c>
      <c r="H24" s="168">
        <f t="shared" si="0"/>
        <v>216</v>
      </c>
    </row>
    <row r="25" spans="2:13" ht="19.8" x14ac:dyDescent="0.4">
      <c r="B25" s="170" t="s">
        <v>238</v>
      </c>
      <c r="C25" s="169" t="s">
        <v>238</v>
      </c>
      <c r="D25" s="168">
        <v>111</v>
      </c>
      <c r="E25" s="174"/>
      <c r="F25" s="168">
        <v>103</v>
      </c>
      <c r="G25" s="168" t="s">
        <v>403</v>
      </c>
      <c r="H25" s="168">
        <f t="shared" si="0"/>
        <v>103</v>
      </c>
      <c r="I25" s="33"/>
    </row>
    <row r="26" spans="2:13" ht="19.8" x14ac:dyDescent="0.4">
      <c r="B26" s="197" t="s">
        <v>409</v>
      </c>
      <c r="C26" s="169" t="s">
        <v>299</v>
      </c>
      <c r="D26" s="168">
        <f>15+4</f>
        <v>19</v>
      </c>
      <c r="E26" s="174"/>
      <c r="F26" s="168">
        <v>16</v>
      </c>
      <c r="G26" s="168">
        <v>1</v>
      </c>
      <c r="H26" s="168">
        <f t="shared" si="0"/>
        <v>17</v>
      </c>
      <c r="I26" s="33"/>
    </row>
    <row r="27" spans="2:13" ht="19.8" x14ac:dyDescent="0.4">
      <c r="B27" s="193"/>
      <c r="C27" s="169" t="s">
        <v>300</v>
      </c>
      <c r="D27" s="168">
        <v>18</v>
      </c>
      <c r="E27" s="174"/>
      <c r="F27" s="168">
        <v>19</v>
      </c>
      <c r="G27" s="168">
        <v>1</v>
      </c>
      <c r="H27" s="168">
        <f t="shared" si="0"/>
        <v>20</v>
      </c>
      <c r="I27" s="33"/>
    </row>
    <row r="28" spans="2:13" ht="19.8" x14ac:dyDescent="0.4">
      <c r="B28" s="192" t="s">
        <v>37</v>
      </c>
      <c r="C28" s="169" t="s">
        <v>305</v>
      </c>
      <c r="D28" s="168">
        <f>4+1</f>
        <v>5</v>
      </c>
      <c r="E28" s="174"/>
      <c r="F28" s="168">
        <v>4</v>
      </c>
      <c r="G28" s="168">
        <v>1</v>
      </c>
      <c r="H28" s="168">
        <f t="shared" si="0"/>
        <v>5</v>
      </c>
      <c r="I28" s="33"/>
    </row>
    <row r="29" spans="2:13" ht="19.8" x14ac:dyDescent="0.4">
      <c r="B29" s="197"/>
      <c r="C29" s="169" t="s">
        <v>306</v>
      </c>
      <c r="D29" s="168">
        <v>6</v>
      </c>
      <c r="E29" s="174"/>
      <c r="F29" s="168">
        <v>6</v>
      </c>
      <c r="G29" s="168" t="s">
        <v>403</v>
      </c>
      <c r="H29" s="168">
        <f t="shared" si="0"/>
        <v>6</v>
      </c>
      <c r="I29" s="33"/>
    </row>
    <row r="30" spans="2:13" ht="19.8" x14ac:dyDescent="0.4">
      <c r="B30" s="197"/>
      <c r="C30" s="169" t="s">
        <v>308</v>
      </c>
      <c r="D30" s="168">
        <v>2</v>
      </c>
      <c r="E30" s="174"/>
      <c r="F30" s="168">
        <v>6</v>
      </c>
      <c r="G30" s="168" t="s">
        <v>403</v>
      </c>
      <c r="H30" s="168">
        <f t="shared" si="0"/>
        <v>6</v>
      </c>
      <c r="I30" s="33"/>
    </row>
    <row r="31" spans="2:13" ht="19.8" x14ac:dyDescent="0.4">
      <c r="B31" s="197"/>
      <c r="C31" s="169" t="s">
        <v>309</v>
      </c>
      <c r="D31" s="168">
        <v>6</v>
      </c>
      <c r="E31" s="174"/>
      <c r="F31" s="168">
        <v>6</v>
      </c>
      <c r="G31" s="168" t="s">
        <v>403</v>
      </c>
      <c r="H31" s="168">
        <f t="shared" si="0"/>
        <v>6</v>
      </c>
      <c r="I31" s="33"/>
    </row>
    <row r="32" spans="2:13" ht="19.8" x14ac:dyDescent="0.4">
      <c r="B32" s="192" t="s">
        <v>322</v>
      </c>
      <c r="C32" s="169" t="s">
        <v>410</v>
      </c>
      <c r="D32" s="168">
        <f>7+1</f>
        <v>8</v>
      </c>
      <c r="E32" s="174"/>
      <c r="F32" s="168">
        <v>7</v>
      </c>
      <c r="G32" s="168">
        <v>1</v>
      </c>
      <c r="H32" s="168">
        <f t="shared" si="0"/>
        <v>8</v>
      </c>
      <c r="I32" s="33"/>
    </row>
    <row r="33" spans="2:9" ht="19.8" x14ac:dyDescent="0.4">
      <c r="B33" s="197"/>
      <c r="C33" s="169" t="s">
        <v>411</v>
      </c>
      <c r="D33" s="168">
        <f>18+8</f>
        <v>26</v>
      </c>
      <c r="E33" s="174"/>
      <c r="F33" s="168">
        <v>18</v>
      </c>
      <c r="G33" s="168">
        <v>8</v>
      </c>
      <c r="H33" s="168">
        <f t="shared" si="0"/>
        <v>26</v>
      </c>
      <c r="I33" s="33"/>
    </row>
    <row r="34" spans="2:9" ht="19.8" x14ac:dyDescent="0.4">
      <c r="B34" s="197"/>
      <c r="C34" s="169" t="s">
        <v>322</v>
      </c>
      <c r="D34" s="168">
        <f>17+8</f>
        <v>25</v>
      </c>
      <c r="E34" s="174"/>
      <c r="F34" s="168">
        <v>17</v>
      </c>
      <c r="G34" s="168">
        <v>9</v>
      </c>
      <c r="H34" s="168">
        <f t="shared" si="0"/>
        <v>26</v>
      </c>
      <c r="I34" s="33"/>
    </row>
    <row r="35" spans="2:9" ht="19.8" x14ac:dyDescent="0.4">
      <c r="B35" s="173" t="s">
        <v>351</v>
      </c>
      <c r="C35" s="169" t="s">
        <v>351</v>
      </c>
      <c r="D35" s="168">
        <v>1</v>
      </c>
      <c r="E35" s="191"/>
      <c r="F35" s="168">
        <v>1</v>
      </c>
      <c r="G35" s="168" t="s">
        <v>403</v>
      </c>
      <c r="H35" s="168">
        <f t="shared" si="0"/>
        <v>1</v>
      </c>
      <c r="I35" s="33"/>
    </row>
    <row r="36" spans="2:9" ht="19.8" x14ac:dyDescent="0.4">
      <c r="B36" s="176" t="s">
        <v>353</v>
      </c>
      <c r="C36" s="169" t="s">
        <v>353</v>
      </c>
      <c r="D36" s="168">
        <v>18</v>
      </c>
      <c r="E36" s="167"/>
      <c r="F36" s="168">
        <f>19+1</f>
        <v>20</v>
      </c>
      <c r="G36" s="168"/>
      <c r="H36" s="168">
        <f t="shared" si="0"/>
        <v>20</v>
      </c>
      <c r="I36" s="33"/>
    </row>
    <row r="37" spans="2:9" ht="19.8" x14ac:dyDescent="0.4">
      <c r="B37" s="177" t="s">
        <v>400</v>
      </c>
      <c r="C37" s="177"/>
      <c r="D37" s="178">
        <f>SUM(D5:D36)</f>
        <v>1202</v>
      </c>
      <c r="E37" s="167"/>
      <c r="F37" s="178">
        <f>SUM(F5:F36)</f>
        <v>1170</v>
      </c>
      <c r="G37" s="178">
        <f>SUM(G5:G36)</f>
        <v>96</v>
      </c>
      <c r="H37" s="178">
        <f>SUM(H5:H36)</f>
        <v>1266</v>
      </c>
    </row>
    <row r="38" spans="2:9" ht="19.8" x14ac:dyDescent="0.4">
      <c r="B38" s="179"/>
      <c r="C38" s="179"/>
      <c r="D38" s="180"/>
      <c r="E38" s="167"/>
      <c r="F38" s="180"/>
      <c r="G38" s="180"/>
      <c r="H38" s="180"/>
    </row>
    <row r="39" spans="2:9" ht="19.8" x14ac:dyDescent="0.4">
      <c r="B39" s="181" t="s">
        <v>412</v>
      </c>
      <c r="C39" s="189" t="s">
        <v>414</v>
      </c>
      <c r="D39" s="190">
        <v>301</v>
      </c>
      <c r="E39" s="167"/>
      <c r="F39" s="168">
        <v>335</v>
      </c>
      <c r="G39" s="168"/>
      <c r="H39" s="168">
        <f>SUM(F39:G39)</f>
        <v>335</v>
      </c>
    </row>
    <row r="40" spans="2:9" ht="6" customHeight="1" x14ac:dyDescent="0.4">
      <c r="B40" s="182"/>
      <c r="C40" s="183"/>
      <c r="D40" s="184"/>
      <c r="E40" s="167"/>
      <c r="F40" s="185"/>
      <c r="G40" s="185"/>
      <c r="H40" s="185"/>
    </row>
    <row r="41" spans="2:9" s="25" customFormat="1" ht="19.8" x14ac:dyDescent="0.4">
      <c r="B41" s="177" t="s">
        <v>400</v>
      </c>
      <c r="C41" s="186"/>
      <c r="D41" s="178">
        <f>SUM(D37+D39)</f>
        <v>1503</v>
      </c>
      <c r="E41" s="187"/>
      <c r="F41" s="178">
        <f>SUM(F37+F39)</f>
        <v>1505</v>
      </c>
      <c r="G41" s="178">
        <f>SUM(G37+G39)</f>
        <v>96</v>
      </c>
      <c r="H41" s="178">
        <f>SUM(H37+H39)</f>
        <v>1601</v>
      </c>
    </row>
    <row r="43" spans="2:9" x14ac:dyDescent="0.3">
      <c r="B43" s="188"/>
    </row>
  </sheetData>
  <mergeCells count="11">
    <mergeCell ref="B15:B16"/>
    <mergeCell ref="B3:B4"/>
    <mergeCell ref="C3:C4"/>
    <mergeCell ref="F3:H3"/>
    <mergeCell ref="B5:B9"/>
    <mergeCell ref="B12:B13"/>
    <mergeCell ref="B18:B19"/>
    <mergeCell ref="B21:B23"/>
    <mergeCell ref="B26:B27"/>
    <mergeCell ref="B28:B31"/>
    <mergeCell ref="B32:B34"/>
  </mergeCells>
  <pageMargins left="0.511811024" right="0.511811024" top="0.78740157499999996" bottom="0.78740157499999996" header="0.31496062000000002" footer="0.31496062000000002"/>
  <pageSetup paperSize="9" scale="63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9"/>
  <sheetViews>
    <sheetView showGridLines="0" showRowColHeaders="0" topLeftCell="B20" workbookViewId="0">
      <selection activeCell="C49" sqref="C49"/>
    </sheetView>
  </sheetViews>
  <sheetFormatPr defaultRowHeight="14.4" x14ac:dyDescent="0.3"/>
  <cols>
    <col min="1" max="1" width="10.6640625" hidden="1" customWidth="1"/>
    <col min="2" max="2" width="30.10937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106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18" t="s">
        <v>107</v>
      </c>
      <c r="B5" s="39" t="s">
        <v>107</v>
      </c>
      <c r="C5" s="40">
        <v>13890062</v>
      </c>
      <c r="D5" s="62">
        <v>12768403.940892754</v>
      </c>
      <c r="E5" s="129">
        <f>IFERROR(C5/D5-1,0)</f>
        <v>8.7846379570978739E-2</v>
      </c>
      <c r="F5" s="42">
        <v>12269867.409999987</v>
      </c>
      <c r="G5" s="133">
        <f>IFERROR(C5/F5-1,0)</f>
        <v>0.13204662575893433</v>
      </c>
      <c r="H5" s="147">
        <v>11735851.11999999</v>
      </c>
      <c r="I5" s="147">
        <v>10757744.199999999</v>
      </c>
    </row>
    <row r="6" spans="1:9" x14ac:dyDescent="0.3">
      <c r="B6" s="46" t="s">
        <v>51</v>
      </c>
      <c r="C6" s="51">
        <f>SUM(C5)</f>
        <v>13890062</v>
      </c>
      <c r="D6" s="28">
        <f>SUM(D5)</f>
        <v>12768403.940892754</v>
      </c>
      <c r="E6" s="121">
        <f t="shared" ref="E6:E22" si="0">IFERROR(C6/D6-1,0)</f>
        <v>8.7846379570978739E-2</v>
      </c>
      <c r="F6" s="49">
        <f>SUM(F5)</f>
        <v>12269867.409999987</v>
      </c>
      <c r="G6" s="122">
        <f t="shared" ref="G6:G21" si="1">IFERROR(C6/F6-1,0)</f>
        <v>0.13204662575893433</v>
      </c>
      <c r="H6" s="150">
        <f t="shared" ref="H6:I6" si="2">SUM(H5)</f>
        <v>11735851.11999999</v>
      </c>
      <c r="I6" s="142">
        <f t="shared" si="2"/>
        <v>10757744.199999999</v>
      </c>
    </row>
    <row r="7" spans="1:9" x14ac:dyDescent="0.3">
      <c r="B7" s="38"/>
      <c r="C7" s="50"/>
      <c r="D7" s="50"/>
      <c r="E7" s="50"/>
      <c r="F7" s="50"/>
      <c r="G7" s="50"/>
      <c r="H7" s="50"/>
      <c r="I7" s="50"/>
    </row>
    <row r="8" spans="1:9" x14ac:dyDescent="0.3">
      <c r="A8" t="s">
        <v>110</v>
      </c>
      <c r="B8" s="202" t="s">
        <v>52</v>
      </c>
      <c r="C8" s="8"/>
      <c r="D8" s="8"/>
      <c r="E8" s="36"/>
      <c r="F8" s="36"/>
      <c r="G8" s="36"/>
      <c r="H8" s="8"/>
      <c r="I8" s="8"/>
    </row>
    <row r="9" spans="1:9" ht="43.2" x14ac:dyDescent="0.3">
      <c r="B9" s="203"/>
      <c r="C9" s="10" t="str">
        <f>'23-Despesas '!C$4</f>
        <v>Orçamento 2026</v>
      </c>
      <c r="D9" s="10" t="str">
        <f>'23-Despesas '!D$4</f>
        <v>Projeção 2025</v>
      </c>
      <c r="E9" s="11" t="s">
        <v>6</v>
      </c>
      <c r="F9" s="37" t="str">
        <f>'23-Despesas '!F$4</f>
        <v>Orçamento 2025</v>
      </c>
      <c r="G9" s="12" t="s">
        <v>8</v>
      </c>
      <c r="H9" s="10" t="s">
        <v>382</v>
      </c>
      <c r="I9" s="10" t="s">
        <v>197</v>
      </c>
    </row>
    <row r="10" spans="1:9" x14ac:dyDescent="0.3">
      <c r="A10" t="s">
        <v>108</v>
      </c>
      <c r="B10" s="19" t="str">
        <f>A10</f>
        <v>Jardim de Infância</v>
      </c>
      <c r="C10" s="20">
        <v>8420539.7335897665</v>
      </c>
      <c r="D10" s="21">
        <v>7588587.4822245743</v>
      </c>
      <c r="E10" s="16">
        <f t="shared" si="0"/>
        <v>0.1096320301128435</v>
      </c>
      <c r="F10" s="44">
        <v>7139586.9199999953</v>
      </c>
      <c r="G10" s="22">
        <f>IFERROR(C10/F10-1,0)</f>
        <v>0.17941553593268278</v>
      </c>
      <c r="H10" s="118">
        <v>7040016.8199999928</v>
      </c>
      <c r="I10" s="118">
        <v>6513376.4500000002</v>
      </c>
    </row>
    <row r="11" spans="1:9" x14ac:dyDescent="0.3">
      <c r="A11" t="s">
        <v>109</v>
      </c>
      <c r="B11" s="19" t="str">
        <f t="shared" ref="B11:B21" si="3">A11</f>
        <v>Ballet</v>
      </c>
      <c r="C11" s="20">
        <v>1530345.5500580503</v>
      </c>
      <c r="D11" s="21">
        <v>1421292.1542034079</v>
      </c>
      <c r="E11" s="16">
        <f t="shared" si="0"/>
        <v>7.6728345774738749E-2</v>
      </c>
      <c r="F11" s="44">
        <v>1379203.2199999997</v>
      </c>
      <c r="G11" s="22">
        <f>IFERROR(C11/F11-1,0)</f>
        <v>0.10958670039796647</v>
      </c>
      <c r="H11" s="118">
        <v>1414373.2499999998</v>
      </c>
      <c r="I11" s="118">
        <v>1296781.1399999999</v>
      </c>
    </row>
    <row r="12" spans="1:9" x14ac:dyDescent="0.3">
      <c r="A12" t="s">
        <v>111</v>
      </c>
      <c r="B12" s="19" t="str">
        <f t="shared" si="3"/>
        <v>Administração do Cultural</v>
      </c>
      <c r="C12" s="20">
        <v>1356261.3990949241</v>
      </c>
      <c r="D12" s="21">
        <v>1056169.1021110283</v>
      </c>
      <c r="E12" s="16">
        <f t="shared" si="0"/>
        <v>0.28413281205072494</v>
      </c>
      <c r="F12" s="44">
        <v>1075745.179999999</v>
      </c>
      <c r="G12" s="22">
        <f>IFERROR(C12/F12-1,0)</f>
        <v>0.26076456052066654</v>
      </c>
      <c r="H12" s="118">
        <v>970192.7099999995</v>
      </c>
      <c r="I12" s="118">
        <v>797516.67999999982</v>
      </c>
    </row>
    <row r="13" spans="1:9" x14ac:dyDescent="0.3">
      <c r="A13" t="s">
        <v>112</v>
      </c>
      <c r="B13" s="19" t="str">
        <f t="shared" si="3"/>
        <v>Cursos</v>
      </c>
      <c r="C13" s="20">
        <v>989211.8</v>
      </c>
      <c r="D13" s="21">
        <v>788038.29694283835</v>
      </c>
      <c r="E13" s="16">
        <f t="shared" si="0"/>
        <v>0.25528391683196849</v>
      </c>
      <c r="F13" s="44">
        <v>785962.5</v>
      </c>
      <c r="G13" s="24">
        <f t="shared" si="1"/>
        <v>0.25859923342398661</v>
      </c>
      <c r="H13" s="118">
        <v>623822.29000000015</v>
      </c>
      <c r="I13" s="118">
        <v>566595.3899999999</v>
      </c>
    </row>
    <row r="14" spans="1:9" x14ac:dyDescent="0.3">
      <c r="A14" t="s">
        <v>113</v>
      </c>
      <c r="B14" s="19" t="str">
        <f t="shared" si="3"/>
        <v>Biblioteca</v>
      </c>
      <c r="C14" s="20">
        <v>490279.04975762125</v>
      </c>
      <c r="D14" s="21">
        <v>465793.51950753597</v>
      </c>
      <c r="E14" s="16">
        <f t="shared" si="0"/>
        <v>5.2567348459404917E-2</v>
      </c>
      <c r="F14" s="44">
        <v>464723.03000000026</v>
      </c>
      <c r="G14" s="24">
        <f t="shared" si="1"/>
        <v>5.4991937364543775E-2</v>
      </c>
      <c r="H14" s="118">
        <v>421844.37000000034</v>
      </c>
      <c r="I14" s="118">
        <v>463242.54999999993</v>
      </c>
    </row>
    <row r="15" spans="1:9" x14ac:dyDescent="0.3">
      <c r="A15" t="s">
        <v>110</v>
      </c>
      <c r="B15" s="19" t="str">
        <f t="shared" si="3"/>
        <v>Atividades e Eventos Culturais</v>
      </c>
      <c r="C15" s="20">
        <v>381000</v>
      </c>
      <c r="D15" s="21">
        <v>511209.79376548406</v>
      </c>
      <c r="E15" s="16">
        <f t="shared" si="0"/>
        <v>-0.25470911424912457</v>
      </c>
      <c r="F15" s="44">
        <v>476155.62000000005</v>
      </c>
      <c r="G15" s="22">
        <f t="shared" si="1"/>
        <v>-0.1998414299929927</v>
      </c>
      <c r="H15" s="118">
        <v>462045.05999999982</v>
      </c>
      <c r="I15" s="118">
        <v>456277.42999999993</v>
      </c>
    </row>
    <row r="16" spans="1:9" x14ac:dyDescent="0.3">
      <c r="A16" t="s">
        <v>114</v>
      </c>
      <c r="B16" s="19" t="str">
        <f t="shared" si="3"/>
        <v>Teatro Atividades</v>
      </c>
      <c r="C16" s="20">
        <v>343654.25999999995</v>
      </c>
      <c r="D16" s="21">
        <v>372712.4929302971</v>
      </c>
      <c r="E16" s="16">
        <f t="shared" si="0"/>
        <v>-7.7964204263288539E-2</v>
      </c>
      <c r="F16" s="44">
        <v>318167.11999999994</v>
      </c>
      <c r="G16" s="24">
        <f t="shared" si="1"/>
        <v>8.0106140445939333E-2</v>
      </c>
      <c r="H16" s="118">
        <v>322463.42000000004</v>
      </c>
      <c r="I16" s="118">
        <v>259596.32</v>
      </c>
    </row>
    <row r="17" spans="1:9" x14ac:dyDescent="0.3">
      <c r="A17" t="s">
        <v>117</v>
      </c>
      <c r="B17" s="19" t="str">
        <f t="shared" si="3"/>
        <v>Coral</v>
      </c>
      <c r="C17" s="20">
        <v>137124.6</v>
      </c>
      <c r="D17" s="21">
        <v>0</v>
      </c>
      <c r="E17" s="16">
        <f t="shared" si="0"/>
        <v>0</v>
      </c>
      <c r="F17" s="44">
        <v>0</v>
      </c>
      <c r="G17" s="22">
        <f t="shared" si="1"/>
        <v>0</v>
      </c>
      <c r="H17" s="118">
        <v>0</v>
      </c>
      <c r="I17" s="118">
        <v>0</v>
      </c>
    </row>
    <row r="18" spans="1:9" x14ac:dyDescent="0.3">
      <c r="A18" t="s">
        <v>116</v>
      </c>
      <c r="B18" s="19" t="str">
        <f t="shared" si="3"/>
        <v>Cinema</v>
      </c>
      <c r="C18" s="20">
        <v>88436</v>
      </c>
      <c r="D18" s="21">
        <v>320837.01206687617</v>
      </c>
      <c r="E18" s="16">
        <f t="shared" si="0"/>
        <v>-0.7243584852312297</v>
      </c>
      <c r="F18" s="44">
        <v>421741.33000000025</v>
      </c>
      <c r="G18" s="24">
        <f t="shared" si="1"/>
        <v>-0.79030748539632112</v>
      </c>
      <c r="H18" s="118">
        <v>262971.33</v>
      </c>
      <c r="I18" s="118">
        <v>290263.19</v>
      </c>
    </row>
    <row r="19" spans="1:9" x14ac:dyDescent="0.3">
      <c r="A19" t="s">
        <v>118</v>
      </c>
      <c r="B19" s="19" t="str">
        <f t="shared" si="3"/>
        <v>Literatura</v>
      </c>
      <c r="C19" s="20">
        <v>75090</v>
      </c>
      <c r="D19" s="21">
        <v>52737.553479076734</v>
      </c>
      <c r="E19" s="16">
        <f t="shared" si="0"/>
        <v>0.42384306905308855</v>
      </c>
      <c r="F19" s="44">
        <v>70697.77999999997</v>
      </c>
      <c r="G19" s="24">
        <f t="shared" si="1"/>
        <v>6.2126703271305539E-2</v>
      </c>
      <c r="H19" s="118">
        <v>36704.520000000004</v>
      </c>
      <c r="I19" s="118">
        <v>12541.119999999999</v>
      </c>
    </row>
    <row r="20" spans="1:9" x14ac:dyDescent="0.3">
      <c r="A20" t="s">
        <v>119</v>
      </c>
      <c r="B20" s="19" t="str">
        <f t="shared" si="3"/>
        <v>Banda de Jazz</v>
      </c>
      <c r="C20" s="20">
        <v>48120</v>
      </c>
      <c r="D20" s="21">
        <v>170606.30600773767</v>
      </c>
      <c r="E20" s="16">
        <f t="shared" si="0"/>
        <v>-0.71794711974000791</v>
      </c>
      <c r="F20" s="44">
        <v>130742.40999999999</v>
      </c>
      <c r="G20" s="22">
        <f t="shared" si="1"/>
        <v>-0.63194804195516974</v>
      </c>
      <c r="H20" s="118">
        <v>138556.32999999996</v>
      </c>
      <c r="I20" s="118">
        <v>95328.3</v>
      </c>
    </row>
    <row r="21" spans="1:9" x14ac:dyDescent="0.3">
      <c r="A21" t="s">
        <v>115</v>
      </c>
      <c r="B21" s="19" t="str">
        <f t="shared" si="3"/>
        <v>Teatro Eventos</v>
      </c>
      <c r="C21" s="20">
        <v>0</v>
      </c>
      <c r="D21" s="21">
        <v>20420.227653878828</v>
      </c>
      <c r="E21" s="16">
        <f t="shared" si="0"/>
        <v>-1</v>
      </c>
      <c r="F21" s="44">
        <v>7142.2999999999975</v>
      </c>
      <c r="G21" s="22">
        <f t="shared" si="1"/>
        <v>-1</v>
      </c>
      <c r="H21" s="118">
        <v>42861.02</v>
      </c>
      <c r="I21" s="118">
        <v>6225.63</v>
      </c>
    </row>
    <row r="22" spans="1:9" x14ac:dyDescent="0.3">
      <c r="B22" s="46" t="s">
        <v>51</v>
      </c>
      <c r="C22" s="51">
        <f>SUM(C10:C21)</f>
        <v>13860062.392500363</v>
      </c>
      <c r="D22" s="28">
        <f>SUM(D10:D21)</f>
        <v>12768403.940892735</v>
      </c>
      <c r="E22" s="139">
        <f t="shared" si="0"/>
        <v>8.5496860583445855E-2</v>
      </c>
      <c r="F22" s="28">
        <f>SUM(F10:F21)</f>
        <v>12269867.409999993</v>
      </c>
      <c r="G22" s="140">
        <f>IFERROR(C22/F22-1,0)</f>
        <v>0.12960164355193893</v>
      </c>
      <c r="H22" s="150">
        <f t="shared" ref="H22:I22" si="4">SUM(H10:H21)</f>
        <v>11735851.119999994</v>
      </c>
      <c r="I22" s="142">
        <f t="shared" si="4"/>
        <v>10757744.200000001</v>
      </c>
    </row>
    <row r="23" spans="1:9" x14ac:dyDescent="0.3">
      <c r="B23" s="38"/>
      <c r="C23" s="50"/>
      <c r="D23" s="50"/>
      <c r="E23" s="50"/>
      <c r="F23" s="50"/>
      <c r="G23" s="50"/>
      <c r="H23" s="50"/>
      <c r="I23" s="50"/>
    </row>
    <row r="24" spans="1:9" x14ac:dyDescent="0.3">
      <c r="B24" s="202" t="s">
        <v>56</v>
      </c>
      <c r="C24" s="8"/>
      <c r="D24" s="8"/>
      <c r="E24" s="36"/>
      <c r="F24" s="36"/>
      <c r="G24" s="36"/>
      <c r="H24" s="8"/>
      <c r="I24" s="8"/>
    </row>
    <row r="25" spans="1:9" ht="43.2" x14ac:dyDescent="0.3">
      <c r="B25" s="203"/>
      <c r="C25" s="10" t="str">
        <f>'23-Despesas '!C$4</f>
        <v>Orçamento 2026</v>
      </c>
      <c r="D25" s="10" t="str">
        <f>'23-Despesas '!D$4</f>
        <v>Projeção 2025</v>
      </c>
      <c r="E25" s="11" t="s">
        <v>6</v>
      </c>
      <c r="F25" s="37" t="str">
        <f>'23-Despesas '!F$4</f>
        <v>Orçamento 2025</v>
      </c>
      <c r="G25" s="12" t="s">
        <v>8</v>
      </c>
      <c r="H25" s="10" t="s">
        <v>382</v>
      </c>
      <c r="I25" s="10" t="s">
        <v>197</v>
      </c>
    </row>
    <row r="26" spans="1:9" x14ac:dyDescent="0.3">
      <c r="B26" s="39" t="s">
        <v>57</v>
      </c>
      <c r="C26" s="53">
        <f>SUM(C27:C30)</f>
        <v>10656270.036060369</v>
      </c>
      <c r="D26" s="65">
        <f>SUM(D27:D30)</f>
        <v>9768282.601216536</v>
      </c>
      <c r="E26" s="129">
        <f t="shared" ref="E26:E49" si="5">IFERROR(C26/D26-1,0)</f>
        <v>9.0905174542477152E-2</v>
      </c>
      <c r="F26" s="55">
        <f>SUM(F27:F30)</f>
        <v>9237218.5199999958</v>
      </c>
      <c r="G26" s="138">
        <f t="shared" ref="G26:G49" si="6">IFERROR(C26/F26-1,0)</f>
        <v>0.15362324849064768</v>
      </c>
      <c r="H26" s="151">
        <f t="shared" ref="H26:I26" si="7">SUM(H27:H30)</f>
        <v>9229917.3200000059</v>
      </c>
      <c r="I26" s="151">
        <f t="shared" si="7"/>
        <v>8564152.5900000017</v>
      </c>
    </row>
    <row r="27" spans="1:9" x14ac:dyDescent="0.3">
      <c r="A27" t="s">
        <v>58</v>
      </c>
      <c r="B27" s="19" t="str">
        <f>A27</f>
        <v>Salários e provisões</v>
      </c>
      <c r="C27" s="20">
        <v>6555322.8214780092</v>
      </c>
      <c r="D27" s="21">
        <v>6157133.9268501839</v>
      </c>
      <c r="E27" s="16">
        <f t="shared" si="5"/>
        <v>6.4671143970312706E-2</v>
      </c>
      <c r="F27" s="44">
        <v>5840443.0599999949</v>
      </c>
      <c r="G27" s="24">
        <f t="shared" si="6"/>
        <v>0.12240163188544373</v>
      </c>
      <c r="H27" s="118">
        <v>5824546.8800000045</v>
      </c>
      <c r="I27" s="118">
        <v>5467105.0300000012</v>
      </c>
    </row>
    <row r="28" spans="1:9" x14ac:dyDescent="0.3">
      <c r="A28" t="s">
        <v>59</v>
      </c>
      <c r="B28" s="19" t="str">
        <f>A28</f>
        <v>Encargos sociais</v>
      </c>
      <c r="C28" s="20">
        <v>2385415.3626545845</v>
      </c>
      <c r="D28" s="21">
        <v>2240960.553650843</v>
      </c>
      <c r="E28" s="16">
        <f t="shared" si="5"/>
        <v>6.4461111896148227E-2</v>
      </c>
      <c r="F28" s="44">
        <v>2027661.0100000007</v>
      </c>
      <c r="G28" s="24">
        <f t="shared" si="6"/>
        <v>0.17643696401430708</v>
      </c>
      <c r="H28" s="118">
        <v>2019817.86</v>
      </c>
      <c r="I28" s="118">
        <v>1859236.7700000003</v>
      </c>
    </row>
    <row r="29" spans="1:9" x14ac:dyDescent="0.3">
      <c r="A29" t="s">
        <v>60</v>
      </c>
      <c r="B29" s="19" t="str">
        <f>A29</f>
        <v>Benefícios</v>
      </c>
      <c r="C29" s="20">
        <v>1418438.9719277737</v>
      </c>
      <c r="D29" s="21">
        <v>1106138.4776056241</v>
      </c>
      <c r="E29" s="16">
        <f t="shared" si="5"/>
        <v>0.28233399402049852</v>
      </c>
      <c r="F29" s="44">
        <v>1089056.0499999993</v>
      </c>
      <c r="G29" s="24">
        <f t="shared" si="6"/>
        <v>0.30244808972667148</v>
      </c>
      <c r="H29" s="118">
        <v>1099045.9499999997</v>
      </c>
      <c r="I29" s="118">
        <v>973607.18</v>
      </c>
    </row>
    <row r="30" spans="1:9" x14ac:dyDescent="0.3">
      <c r="A30" t="s">
        <v>61</v>
      </c>
      <c r="B30" s="19" t="str">
        <f>A30</f>
        <v>Outros</v>
      </c>
      <c r="C30" s="20">
        <v>297092.87999999995</v>
      </c>
      <c r="D30" s="21">
        <v>264049.64310988679</v>
      </c>
      <c r="E30" s="16">
        <f t="shared" si="5"/>
        <v>0.1251402444666887</v>
      </c>
      <c r="F30" s="44">
        <v>280058.40000000008</v>
      </c>
      <c r="G30" s="24">
        <f t="shared" si="6"/>
        <v>6.0824742268040799E-2</v>
      </c>
      <c r="H30" s="118">
        <v>286506.63</v>
      </c>
      <c r="I30" s="118">
        <v>264203.61</v>
      </c>
    </row>
    <row r="31" spans="1:9" s="45" customFormat="1" x14ac:dyDescent="0.3">
      <c r="B31" s="39" t="s">
        <v>62</v>
      </c>
      <c r="C31" s="53">
        <f>SUM(C32:C33)</f>
        <v>2096823</v>
      </c>
      <c r="D31" s="54">
        <f>SUM(D32:D33)</f>
        <v>2062419.0796431259</v>
      </c>
      <c r="E31" s="131">
        <f t="shared" si="5"/>
        <v>1.6681343135570348E-2</v>
      </c>
      <c r="F31" s="66">
        <f>SUM(F32:F33)</f>
        <v>1993810.6900000009</v>
      </c>
      <c r="G31" s="137">
        <f t="shared" si="6"/>
        <v>5.1666043580094856E-2</v>
      </c>
      <c r="H31" s="151">
        <f t="shared" ref="H31:I31" si="8">SUM(H32:H33)</f>
        <v>1732372.9500000009</v>
      </c>
      <c r="I31" s="151">
        <f t="shared" si="8"/>
        <v>1482544.2799999998</v>
      </c>
    </row>
    <row r="32" spans="1:9" s="38" customFormat="1" x14ac:dyDescent="0.3">
      <c r="A32" s="38" t="s">
        <v>63</v>
      </c>
      <c r="B32" s="19" t="str">
        <f>A32</f>
        <v>Serviços contratados</v>
      </c>
      <c r="C32" s="20">
        <v>2082823</v>
      </c>
      <c r="D32" s="21">
        <v>2040023.9025632271</v>
      </c>
      <c r="E32" s="127">
        <f t="shared" si="5"/>
        <v>2.0979703905918523E-2</v>
      </c>
      <c r="F32" s="44">
        <v>1983328.6600000008</v>
      </c>
      <c r="G32" s="136">
        <f t="shared" si="6"/>
        <v>5.0165331650075196E-2</v>
      </c>
      <c r="H32" s="118">
        <v>1732132.0000000009</v>
      </c>
      <c r="I32" s="118">
        <v>1482544.2799999998</v>
      </c>
    </row>
    <row r="33" spans="1:9" x14ac:dyDescent="0.3">
      <c r="A33" t="s">
        <v>100</v>
      </c>
      <c r="B33" s="19" t="str">
        <f>A33</f>
        <v>Encargos sobre serviços contratados</v>
      </c>
      <c r="C33" s="20">
        <v>14000</v>
      </c>
      <c r="D33" s="67">
        <v>22395.1770798988</v>
      </c>
      <c r="E33" s="124">
        <f t="shared" si="5"/>
        <v>-0.3748654029368691</v>
      </c>
      <c r="F33" s="44">
        <v>10482.030000000001</v>
      </c>
      <c r="G33" s="135">
        <f t="shared" si="6"/>
        <v>0.3356191501073742</v>
      </c>
      <c r="H33" s="118">
        <v>240.95</v>
      </c>
      <c r="I33" s="118">
        <v>0</v>
      </c>
    </row>
    <row r="34" spans="1:9" x14ac:dyDescent="0.3">
      <c r="B34" s="39" t="s">
        <v>64</v>
      </c>
      <c r="C34" s="53">
        <f>SUM(C35:C37)</f>
        <v>923194.79295999999</v>
      </c>
      <c r="D34" s="65">
        <f>SUM(D35:D37)</f>
        <v>747958.5337577461</v>
      </c>
      <c r="E34" s="129">
        <f t="shared" si="5"/>
        <v>0.23428606171770827</v>
      </c>
      <c r="F34" s="55">
        <f>SUM(F35:F37)</f>
        <v>844812.16000000038</v>
      </c>
      <c r="G34" s="137">
        <f t="shared" si="6"/>
        <v>9.2781137241205958E-2</v>
      </c>
      <c r="H34" s="151">
        <f t="shared" ref="H34:I34" si="9">SUM(H35:H37)</f>
        <v>658929.39</v>
      </c>
      <c r="I34" s="151">
        <f t="shared" si="9"/>
        <v>548357</v>
      </c>
    </row>
    <row r="35" spans="1:9" x14ac:dyDescent="0.3">
      <c r="A35" t="s">
        <v>66</v>
      </c>
      <c r="B35" s="19" t="str">
        <f>A35</f>
        <v>Mercadoria de revenda e consumo</v>
      </c>
      <c r="C35" s="20">
        <v>537525.68999999994</v>
      </c>
      <c r="D35" s="21">
        <v>430945.38101080095</v>
      </c>
      <c r="E35" s="16">
        <f t="shared" si="5"/>
        <v>0.24731744134073397</v>
      </c>
      <c r="F35" s="44">
        <v>439110.13000000041</v>
      </c>
      <c r="G35" s="136">
        <f t="shared" si="6"/>
        <v>0.22412500481371134</v>
      </c>
      <c r="H35" s="118">
        <v>376003.67000000004</v>
      </c>
      <c r="I35" s="118">
        <v>275290.69999999995</v>
      </c>
    </row>
    <row r="36" spans="1:9" x14ac:dyDescent="0.3">
      <c r="A36" t="s">
        <v>67</v>
      </c>
      <c r="B36" s="19" t="str">
        <f>A36</f>
        <v>Mercadoria de uso geral</v>
      </c>
      <c r="C36" s="20">
        <v>202178.99655000004</v>
      </c>
      <c r="D36" s="21">
        <v>177053.53047754729</v>
      </c>
      <c r="E36" s="16">
        <f t="shared" si="5"/>
        <v>0.14190886792646573</v>
      </c>
      <c r="F36" s="44">
        <v>231022.18000000008</v>
      </c>
      <c r="G36" s="136">
        <f t="shared" si="6"/>
        <v>-0.12485027822869665</v>
      </c>
      <c r="H36" s="118">
        <v>158343.50999999998</v>
      </c>
      <c r="I36" s="118">
        <v>133828.29999999999</v>
      </c>
    </row>
    <row r="37" spans="1:9" x14ac:dyDescent="0.3">
      <c r="A37" t="s">
        <v>65</v>
      </c>
      <c r="B37" s="19" t="str">
        <f>A37</f>
        <v>Material de consumo geral</v>
      </c>
      <c r="C37" s="20">
        <v>183490.10641000001</v>
      </c>
      <c r="D37" s="21">
        <v>139959.62226939781</v>
      </c>
      <c r="E37" s="16">
        <f t="shared" si="5"/>
        <v>0.31102173208794204</v>
      </c>
      <c r="F37" s="44">
        <v>174679.84999999992</v>
      </c>
      <c r="G37" s="135">
        <f t="shared" si="6"/>
        <v>5.0436592486197362E-2</v>
      </c>
      <c r="H37" s="118">
        <v>124582.20999999998</v>
      </c>
      <c r="I37" s="118">
        <v>139238.00000000003</v>
      </c>
    </row>
    <row r="38" spans="1:9" s="45" customFormat="1" hidden="1" x14ac:dyDescent="0.3">
      <c r="B38" s="39" t="s">
        <v>68</v>
      </c>
      <c r="C38" s="14"/>
      <c r="D38" s="15"/>
      <c r="E38" s="16">
        <f t="shared" si="5"/>
        <v>0</v>
      </c>
      <c r="F38" s="86"/>
      <c r="G38" s="24">
        <f t="shared" si="6"/>
        <v>0</v>
      </c>
      <c r="H38" s="153"/>
      <c r="I38" s="153"/>
    </row>
    <row r="39" spans="1:9" hidden="1" x14ac:dyDescent="0.3">
      <c r="B39" s="56" t="s">
        <v>68</v>
      </c>
      <c r="C39" s="57"/>
      <c r="D39" s="67"/>
      <c r="E39" s="16">
        <f t="shared" si="5"/>
        <v>0</v>
      </c>
      <c r="F39" s="59"/>
      <c r="G39" s="24">
        <f t="shared" si="6"/>
        <v>0</v>
      </c>
      <c r="H39" s="152"/>
      <c r="I39" s="152"/>
    </row>
    <row r="40" spans="1:9" hidden="1" x14ac:dyDescent="0.3">
      <c r="B40" s="39" t="s">
        <v>69</v>
      </c>
      <c r="C40" s="53">
        <f>SUM(C41:C42)</f>
        <v>0</v>
      </c>
      <c r="D40" s="65">
        <f>SUM(D41:D42)</f>
        <v>0</v>
      </c>
      <c r="E40" s="16">
        <f t="shared" si="5"/>
        <v>0</v>
      </c>
      <c r="F40" s="55">
        <f>SUM(F41:F42)</f>
        <v>0</v>
      </c>
      <c r="G40" s="24">
        <f t="shared" si="6"/>
        <v>0</v>
      </c>
      <c r="H40" s="151">
        <f t="shared" ref="H40:I40" si="10">SUM(H41:H42)</f>
        <v>0</v>
      </c>
      <c r="I40" s="151">
        <f t="shared" si="10"/>
        <v>0</v>
      </c>
    </row>
    <row r="41" spans="1:9" hidden="1" x14ac:dyDescent="0.3">
      <c r="B41" s="19" t="s">
        <v>81</v>
      </c>
      <c r="C41" s="20"/>
      <c r="D41" s="21"/>
      <c r="E41" s="16">
        <f t="shared" si="5"/>
        <v>0</v>
      </c>
      <c r="F41" s="44"/>
      <c r="G41" s="24">
        <f t="shared" si="6"/>
        <v>0</v>
      </c>
      <c r="H41" s="118"/>
      <c r="I41" s="118"/>
    </row>
    <row r="42" spans="1:9" hidden="1" x14ac:dyDescent="0.3">
      <c r="B42" s="19" t="s">
        <v>70</v>
      </c>
      <c r="C42" s="20"/>
      <c r="D42" s="21"/>
      <c r="E42" s="16">
        <f t="shared" si="5"/>
        <v>0</v>
      </c>
      <c r="F42" s="44"/>
      <c r="G42" s="24">
        <f t="shared" si="6"/>
        <v>0</v>
      </c>
      <c r="H42" s="118"/>
      <c r="I42" s="118"/>
    </row>
    <row r="43" spans="1:9" x14ac:dyDescent="0.3">
      <c r="B43" s="39" t="s">
        <v>71</v>
      </c>
      <c r="C43" s="53">
        <f>SUM(C44:C46)</f>
        <v>213774.85</v>
      </c>
      <c r="D43" s="65">
        <f>SUM(D44:D46)</f>
        <v>189743.72627532386</v>
      </c>
      <c r="E43" s="131">
        <f t="shared" si="5"/>
        <v>0.12665042579487595</v>
      </c>
      <c r="F43" s="55">
        <f>SUM(F44:F46)</f>
        <v>193540.9</v>
      </c>
      <c r="G43" s="137">
        <f t="shared" si="6"/>
        <v>0.10454611919237755</v>
      </c>
      <c r="H43" s="151">
        <f t="shared" ref="H43:I43" si="11">SUM(H44:H46)</f>
        <v>113010.56000000001</v>
      </c>
      <c r="I43" s="151">
        <f t="shared" si="11"/>
        <v>162690.33000000002</v>
      </c>
    </row>
    <row r="44" spans="1:9" x14ac:dyDescent="0.3">
      <c r="A44" t="s">
        <v>73</v>
      </c>
      <c r="B44" s="19" t="str">
        <f>A44</f>
        <v>Outros gastos gerais</v>
      </c>
      <c r="C44" s="20">
        <v>179634.85</v>
      </c>
      <c r="D44" s="21">
        <v>158234.28923384682</v>
      </c>
      <c r="E44" s="127">
        <f t="shared" si="5"/>
        <v>0.13524603845204708</v>
      </c>
      <c r="F44" s="44">
        <v>165303.72</v>
      </c>
      <c r="G44" s="136">
        <f t="shared" si="6"/>
        <v>8.6695750101691615E-2</v>
      </c>
      <c r="H44" s="118">
        <v>82376.070000000022</v>
      </c>
      <c r="I44" s="118">
        <v>136979.56000000003</v>
      </c>
    </row>
    <row r="45" spans="1:9" x14ac:dyDescent="0.3">
      <c r="A45" t="s">
        <v>72</v>
      </c>
      <c r="B45" s="19" t="str">
        <f>A45</f>
        <v>Locomoções gerais - viagens - estadias</v>
      </c>
      <c r="C45" s="20">
        <v>34140</v>
      </c>
      <c r="D45" s="21">
        <v>31436.957041477028</v>
      </c>
      <c r="E45" s="127">
        <f t="shared" si="5"/>
        <v>8.598297077406869E-2</v>
      </c>
      <c r="F45" s="44">
        <v>28200</v>
      </c>
      <c r="G45" s="136">
        <f t="shared" si="6"/>
        <v>0.21063829787234045</v>
      </c>
      <c r="H45" s="118">
        <v>30447.059999999998</v>
      </c>
      <c r="I45" s="118">
        <v>25657.589999999997</v>
      </c>
    </row>
    <row r="46" spans="1:9" x14ac:dyDescent="0.3">
      <c r="A46" t="s">
        <v>82</v>
      </c>
      <c r="B46" s="56" t="str">
        <f>A46</f>
        <v>Despesas financeiras</v>
      </c>
      <c r="C46" s="20">
        <v>0</v>
      </c>
      <c r="D46" s="21">
        <v>72.48</v>
      </c>
      <c r="E46" s="124">
        <f t="shared" si="5"/>
        <v>-1</v>
      </c>
      <c r="F46" s="59">
        <v>37.18</v>
      </c>
      <c r="G46" s="135">
        <f t="shared" si="6"/>
        <v>-1</v>
      </c>
      <c r="H46" s="118">
        <v>187.43</v>
      </c>
      <c r="I46" s="118">
        <v>53.179999999999993</v>
      </c>
    </row>
    <row r="47" spans="1:9" x14ac:dyDescent="0.3">
      <c r="B47" s="39" t="s">
        <v>83</v>
      </c>
      <c r="C47" s="53">
        <f>SUM(C48)</f>
        <v>0</v>
      </c>
      <c r="D47" s="65">
        <f>SUM(D48)</f>
        <v>0</v>
      </c>
      <c r="E47" s="129">
        <f t="shared" si="5"/>
        <v>0</v>
      </c>
      <c r="F47" s="55">
        <f>SUM(F48)</f>
        <v>485.14</v>
      </c>
      <c r="G47" s="138">
        <f t="shared" si="6"/>
        <v>-1</v>
      </c>
      <c r="H47" s="151">
        <f t="shared" ref="H47:I47" si="12">SUM(H48)</f>
        <v>1620.9</v>
      </c>
      <c r="I47" s="151">
        <f t="shared" si="12"/>
        <v>0</v>
      </c>
    </row>
    <row r="48" spans="1:9" x14ac:dyDescent="0.3">
      <c r="A48" t="s">
        <v>83</v>
      </c>
      <c r="B48" s="19" t="str">
        <f>A48</f>
        <v>Tributários fiscais e taxas</v>
      </c>
      <c r="C48" s="20">
        <v>0</v>
      </c>
      <c r="D48" s="21">
        <v>0</v>
      </c>
      <c r="E48" s="16">
        <f t="shared" si="5"/>
        <v>0</v>
      </c>
      <c r="F48" s="44">
        <v>485.14</v>
      </c>
      <c r="G48" s="24">
        <f t="shared" si="6"/>
        <v>-1</v>
      </c>
      <c r="H48" s="118">
        <v>1620.9</v>
      </c>
      <c r="I48" s="118">
        <v>0</v>
      </c>
    </row>
    <row r="49" spans="2:9" x14ac:dyDescent="0.3">
      <c r="B49" s="26" t="s">
        <v>51</v>
      </c>
      <c r="C49" s="51">
        <f>SUM(C47+C43+C40+C34+C31+C26+C38)</f>
        <v>13890062.679020368</v>
      </c>
      <c r="D49" s="28">
        <f>SUM(D47+D43+D40+D34+D31+D26+D38)</f>
        <v>12768403.940892732</v>
      </c>
      <c r="E49" s="121">
        <f t="shared" si="5"/>
        <v>8.7846432750718018E-2</v>
      </c>
      <c r="F49" s="49">
        <f>SUM(F47+F43+F40+F34+F31+F26+F38)</f>
        <v>12269867.409999996</v>
      </c>
      <c r="G49" s="120">
        <f t="shared" si="6"/>
        <v>0.13204668109941475</v>
      </c>
      <c r="H49" s="150">
        <f t="shared" ref="H49:I49" si="13">SUM(H47+H43+H40+H34+H31+H26+H38)</f>
        <v>11735851.120000007</v>
      </c>
      <c r="I49" s="142">
        <f t="shared" si="13"/>
        <v>10757744.200000001</v>
      </c>
    </row>
  </sheetData>
  <mergeCells count="3">
    <mergeCell ref="B3:B4"/>
    <mergeCell ref="B8:B9"/>
    <mergeCell ref="B24:B25"/>
  </mergeCells>
  <pageMargins left="0.511811024" right="0.511811024" top="0.78740157499999996" bottom="0.78740157499999996" header="0.31496062000000002" footer="0.31496062000000002"/>
  <ignoredErrors>
    <ignoredError sqref="F31 F34 F38:F43 F47 C47:D47 C38:D43 C34:D34 C31:D31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0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17.777343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378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Esportes Individuais</v>
      </c>
      <c r="B5" s="61" t="str">
        <f>'42-EOF_AQU'!B5</f>
        <v>Esportes Individuais</v>
      </c>
      <c r="C5" s="87">
        <f>'42-EOF_AQU'!C5</f>
        <v>14941256.139572669</v>
      </c>
      <c r="D5" s="62">
        <f>'42-EOF_AQU'!D5</f>
        <v>14045354.883591129</v>
      </c>
      <c r="E5" s="16">
        <f>IFERROR(C5/D5-1,0)</f>
        <v>6.3786302546773088E-2</v>
      </c>
      <c r="F5" s="42">
        <f>'42-EOF_AQU'!F5</f>
        <v>14471290.839999998</v>
      </c>
      <c r="G5" s="17">
        <f>IFERROR(C5/F5-1,0)</f>
        <v>3.247569997512878E-2</v>
      </c>
      <c r="H5" s="156">
        <f>'42-EOF_AQU'!H5</f>
        <v>12319027.850000024</v>
      </c>
      <c r="I5" s="156">
        <f>'42-EOF_AQU'!I5</f>
        <v>11104846.219999999</v>
      </c>
    </row>
    <row r="6" spans="1:9" s="45" customFormat="1" x14ac:dyDescent="0.3">
      <c r="A6" s="38" t="str">
        <f>B6</f>
        <v>Esportes Aquáticos</v>
      </c>
      <c r="B6" s="107" t="str">
        <f>'42-EOF_AQU'!B6</f>
        <v>Esportes Aquáticos</v>
      </c>
      <c r="C6" s="88">
        <f>'42-EOF_AQU'!C6</f>
        <v>19682859.875839431</v>
      </c>
      <c r="D6" s="21">
        <f>'42-EOF_AQU'!D6</f>
        <v>18026238.925246995</v>
      </c>
      <c r="E6" s="16">
        <f t="shared" ref="E6:E23" si="0">IFERROR(C6/D6-1,0)</f>
        <v>9.1900532188787576E-2</v>
      </c>
      <c r="F6" s="44">
        <f>'42-EOF_AQU'!F6</f>
        <v>18113296.569999963</v>
      </c>
      <c r="G6" s="22">
        <f t="shared" ref="G6:G21" si="1">IFERROR(C6/F6-1,0)</f>
        <v>8.6652548296429321E-2</v>
      </c>
      <c r="H6" s="155">
        <f>'42-EOF_AQU'!H6</f>
        <v>18394144.529999949</v>
      </c>
      <c r="I6" s="155">
        <f>'42-EOF_AQU'!I6</f>
        <v>16372481.019999998</v>
      </c>
    </row>
    <row r="7" spans="1:9" x14ac:dyDescent="0.3">
      <c r="B7" s="46" t="s">
        <v>51</v>
      </c>
      <c r="C7" s="51">
        <f>SUM(C5:C6)</f>
        <v>34624116.0154121</v>
      </c>
      <c r="D7" s="28">
        <f>SUM(D5:D6)</f>
        <v>32071593.808838122</v>
      </c>
      <c r="E7" s="121">
        <f t="shared" si="0"/>
        <v>7.9588255631703797E-2</v>
      </c>
      <c r="F7" s="49">
        <f>SUM(F5:F6)</f>
        <v>32584587.409999959</v>
      </c>
      <c r="G7" s="122">
        <f t="shared" si="1"/>
        <v>6.2591819247225677E-2</v>
      </c>
      <c r="H7" s="150">
        <f t="shared" ref="H7:I7" si="2">SUM(H5:H6)</f>
        <v>30713172.379999973</v>
      </c>
      <c r="I7" s="142">
        <f t="shared" si="2"/>
        <v>27477327.239999995</v>
      </c>
    </row>
    <row r="8" spans="1:9" x14ac:dyDescent="0.3">
      <c r="B8" s="38"/>
      <c r="C8" s="50"/>
      <c r="D8" s="50"/>
      <c r="E8" s="50"/>
      <c r="F8" s="50"/>
      <c r="G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tr">
        <f>'23-Despesas '!F$4</f>
        <v>Orçamento 2025</v>
      </c>
      <c r="I10" s="10" t="str">
        <f>'23-Despesas '!G$4</f>
        <v>Variação
Orç 2026 vs Orç 2025</v>
      </c>
    </row>
    <row r="11" spans="1:9" x14ac:dyDescent="0.3">
      <c r="A11" s="78" t="s">
        <v>136</v>
      </c>
      <c r="B11" s="19" t="str">
        <f>A11</f>
        <v>Judô Alto Rendimento</v>
      </c>
      <c r="C11" s="88">
        <v>3856562.6727191606</v>
      </c>
      <c r="D11" s="21">
        <v>3653366.3988988982</v>
      </c>
      <c r="E11" s="16">
        <f t="shared" si="0"/>
        <v>5.5618914621184512E-2</v>
      </c>
      <c r="F11" s="64">
        <v>3716332.439999999</v>
      </c>
      <c r="G11" s="22">
        <f>IFERROR(C11/F11-1,0)</f>
        <v>3.7733500698113431E-2</v>
      </c>
      <c r="H11" s="155">
        <v>3205683.7600000021</v>
      </c>
      <c r="I11" s="155">
        <v>2922366.709999999</v>
      </c>
    </row>
    <row r="12" spans="1:9" x14ac:dyDescent="0.3">
      <c r="A12" s="78" t="s">
        <v>137</v>
      </c>
      <c r="B12" s="19" t="str">
        <f t="shared" ref="B12:B22" si="3">A12</f>
        <v>Atletismo Alto Rendimento</v>
      </c>
      <c r="C12" s="88">
        <v>2960911.6646895679</v>
      </c>
      <c r="D12" s="21">
        <v>1914976.2816534659</v>
      </c>
      <c r="E12" s="16">
        <f t="shared" si="0"/>
        <v>0.54618712150993343</v>
      </c>
      <c r="F12" s="44">
        <v>1921179.9800000004</v>
      </c>
      <c r="G12" s="22">
        <f>IFERROR(C12/F12-1,0)</f>
        <v>0.54119431574004184</v>
      </c>
      <c r="H12" s="155">
        <v>1838784.7000000002</v>
      </c>
      <c r="I12" s="155">
        <v>1915594.5499999998</v>
      </c>
    </row>
    <row r="13" spans="1:9" x14ac:dyDescent="0.3">
      <c r="A13" s="78" t="s">
        <v>138</v>
      </c>
      <c r="B13" s="19" t="str">
        <f t="shared" si="3"/>
        <v>Ginástica Artística Alto Rendimento</v>
      </c>
      <c r="C13" s="88">
        <v>1731690.0020206165</v>
      </c>
      <c r="D13" s="21">
        <v>1603945.665451393</v>
      </c>
      <c r="E13" s="16">
        <f t="shared" si="0"/>
        <v>7.9643805473468499E-2</v>
      </c>
      <c r="F13" s="44">
        <v>1290842.06</v>
      </c>
      <c r="G13" s="24">
        <f t="shared" si="1"/>
        <v>0.34151966044600113</v>
      </c>
      <c r="H13" s="155">
        <v>1452210.98</v>
      </c>
      <c r="I13" s="155">
        <v>1133950.8599999999</v>
      </c>
    </row>
    <row r="14" spans="1:9" x14ac:dyDescent="0.3">
      <c r="A14" s="78" t="s">
        <v>139</v>
      </c>
      <c r="B14" s="19" t="str">
        <f t="shared" si="3"/>
        <v>Ginástica Artística Formação e Especialização</v>
      </c>
      <c r="C14" s="88">
        <v>1679616.177988088</v>
      </c>
      <c r="D14" s="21">
        <v>1461866.942040551</v>
      </c>
      <c r="E14" s="16">
        <f t="shared" si="0"/>
        <v>0.14895284220846472</v>
      </c>
      <c r="F14" s="44">
        <v>1758422.7299999977</v>
      </c>
      <c r="G14" s="24">
        <f t="shared" si="1"/>
        <v>-4.4816613586375675E-2</v>
      </c>
      <c r="H14" s="155">
        <v>1330559.3299999984</v>
      </c>
      <c r="I14" s="155">
        <v>1241396.8599999999</v>
      </c>
    </row>
    <row r="15" spans="1:9" x14ac:dyDescent="0.3">
      <c r="A15" s="78" t="s">
        <v>140</v>
      </c>
      <c r="B15" s="19" t="str">
        <f t="shared" si="3"/>
        <v>Judô Formação e Especialização</v>
      </c>
      <c r="C15" s="88">
        <v>1042380.9020584632</v>
      </c>
      <c r="D15" s="21">
        <v>1231982.1780924401</v>
      </c>
      <c r="E15" s="16">
        <f t="shared" si="0"/>
        <v>-0.15389936592065734</v>
      </c>
      <c r="F15" s="44">
        <v>1420523.5100000009</v>
      </c>
      <c r="G15" s="22">
        <f t="shared" si="1"/>
        <v>-0.26619947172964242</v>
      </c>
      <c r="H15" s="155">
        <v>1062513.0199999998</v>
      </c>
      <c r="I15" s="155">
        <v>840427.85000000009</v>
      </c>
    </row>
    <row r="16" spans="1:9" x14ac:dyDescent="0.3">
      <c r="A16" s="78" t="s">
        <v>141</v>
      </c>
      <c r="B16" s="19" t="str">
        <f t="shared" si="3"/>
        <v>Esgrima Alto Rendimento</v>
      </c>
      <c r="C16" s="88">
        <v>1029932.3859655976</v>
      </c>
      <c r="D16" s="21">
        <v>1109068.6160057916</v>
      </c>
      <c r="E16" s="16">
        <f t="shared" si="0"/>
        <v>-7.135377279468591E-2</v>
      </c>
      <c r="F16" s="44">
        <v>943196.04000000074</v>
      </c>
      <c r="G16" s="24">
        <f t="shared" si="1"/>
        <v>9.1960040423406442E-2</v>
      </c>
      <c r="H16" s="155">
        <v>959579.97000000055</v>
      </c>
      <c r="I16" s="155">
        <v>818126.94</v>
      </c>
    </row>
    <row r="17" spans="1:9" x14ac:dyDescent="0.3">
      <c r="A17" s="78" t="s">
        <v>142</v>
      </c>
      <c r="B17" s="19" t="str">
        <f t="shared" si="3"/>
        <v>Esgrima Formação e Especialização</v>
      </c>
      <c r="C17" s="88">
        <v>923004.70592392317</v>
      </c>
      <c r="D17" s="21">
        <v>707768.34780934267</v>
      </c>
      <c r="E17" s="16">
        <f t="shared" si="0"/>
        <v>0.30410565657643751</v>
      </c>
      <c r="F17" s="44">
        <v>865470.86999999965</v>
      </c>
      <c r="G17" s="22">
        <f t="shared" si="1"/>
        <v>6.6476917846955974E-2</v>
      </c>
      <c r="H17" s="155">
        <v>522569.66000000027</v>
      </c>
      <c r="I17" s="155">
        <v>714390.56</v>
      </c>
    </row>
    <row r="18" spans="1:9" x14ac:dyDescent="0.3">
      <c r="A18" s="78" t="s">
        <v>143</v>
      </c>
      <c r="B18" s="19" t="str">
        <f t="shared" si="3"/>
        <v>Levantamento de Peso Alto Rendimento</v>
      </c>
      <c r="C18" s="88">
        <v>459219.99999999994</v>
      </c>
      <c r="D18" s="21">
        <v>539053.60085570312</v>
      </c>
      <c r="E18" s="16">
        <f t="shared" si="0"/>
        <v>-0.14809955954096943</v>
      </c>
      <c r="F18" s="44">
        <v>546060.01</v>
      </c>
      <c r="G18" s="24">
        <f t="shared" si="1"/>
        <v>-0.15903015860839187</v>
      </c>
      <c r="H18" s="155">
        <v>328431.41999999993</v>
      </c>
      <c r="I18" s="155">
        <v>197022.93999999997</v>
      </c>
    </row>
    <row r="19" spans="1:9" x14ac:dyDescent="0.3">
      <c r="A19" s="78" t="s">
        <v>146</v>
      </c>
      <c r="B19" s="19" t="str">
        <f t="shared" si="3"/>
        <v>Atletismo Formação e Especialização</v>
      </c>
      <c r="C19" s="88">
        <v>449242.69210749184</v>
      </c>
      <c r="D19" s="21">
        <v>1072537.5746525147</v>
      </c>
      <c r="E19" s="16">
        <f t="shared" si="0"/>
        <v>-0.58114036960146653</v>
      </c>
      <c r="F19" s="44">
        <v>1142008.9399999992</v>
      </c>
      <c r="G19" s="24">
        <f t="shared" si="1"/>
        <v>-0.60662068713096751</v>
      </c>
      <c r="H19" s="155">
        <v>1033228.0499999999</v>
      </c>
      <c r="I19" s="155">
        <v>947086.73999999987</v>
      </c>
    </row>
    <row r="20" spans="1:9" x14ac:dyDescent="0.3">
      <c r="A20" s="78" t="s">
        <v>145</v>
      </c>
      <c r="B20" s="19" t="str">
        <f t="shared" si="3"/>
        <v>Badminton Formação e Especialização</v>
      </c>
      <c r="C20" s="88">
        <v>365176.49438550707</v>
      </c>
      <c r="D20" s="21">
        <v>354943.01814351085</v>
      </c>
      <c r="E20" s="16">
        <f t="shared" si="0"/>
        <v>2.8831321420326184E-2</v>
      </c>
      <c r="F20" s="44">
        <v>404440.62</v>
      </c>
      <c r="G20" s="22">
        <f t="shared" si="1"/>
        <v>-9.7082547283437903E-2</v>
      </c>
      <c r="H20" s="155">
        <v>243684.49</v>
      </c>
      <c r="I20" s="155">
        <v>215231.79999999993</v>
      </c>
    </row>
    <row r="21" spans="1:9" x14ac:dyDescent="0.3">
      <c r="A21" s="78" t="s">
        <v>144</v>
      </c>
      <c r="B21" s="19" t="str">
        <f t="shared" si="3"/>
        <v>Badminton Alto Rendimento</v>
      </c>
      <c r="C21" s="88">
        <v>364173.42000000004</v>
      </c>
      <c r="D21" s="21">
        <v>324578.93981466285</v>
      </c>
      <c r="E21" s="16">
        <f t="shared" si="0"/>
        <v>0.12198721274998903</v>
      </c>
      <c r="F21" s="44">
        <v>389800</v>
      </c>
      <c r="G21" s="22">
        <f t="shared" si="1"/>
        <v>-6.5742893791687962E-2</v>
      </c>
      <c r="H21" s="155">
        <v>271784.15999999997</v>
      </c>
      <c r="I21" s="155">
        <v>96474.46</v>
      </c>
    </row>
    <row r="22" spans="1:9" x14ac:dyDescent="0.3">
      <c r="A22" s="78" t="s">
        <v>147</v>
      </c>
      <c r="B22" s="19" t="str">
        <f t="shared" si="3"/>
        <v>Levantamento de Peso Formação e Especialização</v>
      </c>
      <c r="C22" s="88">
        <v>79345.021714199262</v>
      </c>
      <c r="D22" s="21">
        <v>71267.320172857028</v>
      </c>
      <c r="E22" s="16">
        <f t="shared" si="0"/>
        <v>0.1133436969672772</v>
      </c>
      <c r="F22" s="44">
        <v>73013.639999999985</v>
      </c>
      <c r="G22" s="22">
        <f>IFERROR(C22/F22-1,0)</f>
        <v>8.6715053710502366E-2</v>
      </c>
      <c r="H22" s="155">
        <v>69998.309999999983</v>
      </c>
      <c r="I22" s="155">
        <v>62775.94999999999</v>
      </c>
    </row>
    <row r="23" spans="1:9" x14ac:dyDescent="0.3">
      <c r="B23" s="46" t="s">
        <v>51</v>
      </c>
      <c r="C23" s="51">
        <f>SUM(C11:C22)</f>
        <v>14941256.139572613</v>
      </c>
      <c r="D23" s="28">
        <f>SUM(D11:D22)</f>
        <v>14045354.883591132</v>
      </c>
      <c r="E23" s="121">
        <f t="shared" si="0"/>
        <v>6.3786302546768869E-2</v>
      </c>
      <c r="F23" s="28">
        <f>SUM(F11:F22)</f>
        <v>14471290.839999998</v>
      </c>
      <c r="G23" s="120">
        <f>IFERROR(C23/F23-1,0)</f>
        <v>3.2475699975125005E-2</v>
      </c>
      <c r="H23" s="150">
        <f t="shared" ref="H23:I23" si="4">SUM(H11:H22)</f>
        <v>12319027.850000003</v>
      </c>
      <c r="I23" s="142">
        <f t="shared" si="4"/>
        <v>11104846.219999999</v>
      </c>
    </row>
    <row r="24" spans="1:9" x14ac:dyDescent="0.3">
      <c r="A24" s="78"/>
      <c r="B24" s="38"/>
      <c r="C24" s="50"/>
      <c r="D24" s="50"/>
      <c r="E24" s="50"/>
      <c r="F24" s="50"/>
      <c r="G24" s="50"/>
      <c r="H24" s="50"/>
      <c r="I24" s="50"/>
    </row>
    <row r="25" spans="1:9" x14ac:dyDescent="0.3">
      <c r="B25" s="202" t="s">
        <v>56</v>
      </c>
      <c r="C25" s="8"/>
      <c r="D25" s="8"/>
      <c r="E25" s="36"/>
      <c r="F25" s="36"/>
      <c r="G25" s="36"/>
      <c r="H25" s="8"/>
      <c r="I25" s="8"/>
    </row>
    <row r="26" spans="1:9" ht="43.2" x14ac:dyDescent="0.3">
      <c r="B26" s="203"/>
      <c r="C26" s="10" t="str">
        <f>'23-Despesas '!C$4</f>
        <v>Orçamento 2026</v>
      </c>
      <c r="D26" s="10" t="str">
        <f>'23-Despesas '!D$4</f>
        <v>Projeção 2025</v>
      </c>
      <c r="E26" s="11" t="s">
        <v>6</v>
      </c>
      <c r="F26" s="37" t="str">
        <f>'23-Despesas '!F$4</f>
        <v>Orçamento 2025</v>
      </c>
      <c r="G26" s="12" t="s">
        <v>8</v>
      </c>
      <c r="H26" s="10" t="str">
        <f>'23-Despesas '!F$4</f>
        <v>Orçamento 2025</v>
      </c>
      <c r="I26" s="10" t="str">
        <f>'23-Despesas '!G$4</f>
        <v>Variação
Orç 2026 vs Orç 2025</v>
      </c>
    </row>
    <row r="27" spans="1:9" x14ac:dyDescent="0.3">
      <c r="B27" s="39" t="s">
        <v>57</v>
      </c>
      <c r="C27" s="89">
        <f>SUM(C28:C31)</f>
        <v>3745824.1095726183</v>
      </c>
      <c r="D27" s="65">
        <f>SUM(D28:D31)</f>
        <v>3783397.4687403017</v>
      </c>
      <c r="E27" s="16">
        <f t="shared" ref="E27:E47" si="5">IFERROR(C27/D27-1,0)</f>
        <v>-9.9311160083304095E-3</v>
      </c>
      <c r="F27" s="55">
        <f>SUM(F28:F31)</f>
        <v>3704984.6799999964</v>
      </c>
      <c r="G27" s="24">
        <f t="shared" ref="G27:G47" si="6">IFERROR(C27/F27-1,0)</f>
        <v>1.1022833587700953E-2</v>
      </c>
      <c r="H27" s="157">
        <f t="shared" ref="H27:I27" si="7">SUM(H28:H31)</f>
        <v>3619241.3499999964</v>
      </c>
      <c r="I27" s="157">
        <f t="shared" si="7"/>
        <v>2708458.1900000004</v>
      </c>
    </row>
    <row r="28" spans="1:9" x14ac:dyDescent="0.3">
      <c r="A28" s="85" t="s">
        <v>58</v>
      </c>
      <c r="B28" s="19" t="str">
        <f>A28</f>
        <v>Salários e provisões</v>
      </c>
      <c r="C28" s="20">
        <v>2273991.9510249435</v>
      </c>
      <c r="D28" s="21">
        <v>2007581.4292014891</v>
      </c>
      <c r="E28" s="16">
        <f t="shared" si="5"/>
        <v>0.13270222465119064</v>
      </c>
      <c r="F28" s="44">
        <v>1790052.7999999959</v>
      </c>
      <c r="G28" s="24">
        <f t="shared" si="6"/>
        <v>0.27034909306862276</v>
      </c>
      <c r="H28" s="118">
        <v>2037941.0799999975</v>
      </c>
      <c r="I28" s="118">
        <v>1649625.96</v>
      </c>
    </row>
    <row r="29" spans="1:9" x14ac:dyDescent="0.3">
      <c r="A29" s="85" t="s">
        <v>59</v>
      </c>
      <c r="B29" s="19" t="str">
        <f>A29</f>
        <v>Encargos sociais</v>
      </c>
      <c r="C29" s="20">
        <v>807267.14261385589</v>
      </c>
      <c r="D29" s="21">
        <v>1202658.5808265395</v>
      </c>
      <c r="E29" s="16">
        <f t="shared" si="5"/>
        <v>-0.32876449269662789</v>
      </c>
      <c r="F29" s="44">
        <v>1355900.4000000011</v>
      </c>
      <c r="G29" s="24">
        <f t="shared" si="6"/>
        <v>-0.40462651783725767</v>
      </c>
      <c r="H29" s="118">
        <v>1085690.0899999987</v>
      </c>
      <c r="I29" s="118">
        <v>662806.1100000001</v>
      </c>
    </row>
    <row r="30" spans="1:9" x14ac:dyDescent="0.3">
      <c r="A30" s="85" t="s">
        <v>60</v>
      </c>
      <c r="B30" s="19" t="str">
        <f>A30</f>
        <v>Benefícios</v>
      </c>
      <c r="C30" s="20">
        <v>628186.29593381891</v>
      </c>
      <c r="D30" s="21">
        <v>536259.91174342739</v>
      </c>
      <c r="E30" s="16">
        <f t="shared" si="5"/>
        <v>0.17142132420738077</v>
      </c>
      <c r="F30" s="44">
        <v>507061.8799999996</v>
      </c>
      <c r="G30" s="24">
        <f t="shared" si="6"/>
        <v>0.23887501843723569</v>
      </c>
      <c r="H30" s="118">
        <v>462029.37</v>
      </c>
      <c r="I30" s="118">
        <v>377172.47999999992</v>
      </c>
    </row>
    <row r="31" spans="1:9" x14ac:dyDescent="0.3">
      <c r="A31" s="85" t="s">
        <v>61</v>
      </c>
      <c r="B31" s="19" t="str">
        <f>A31</f>
        <v>Outros</v>
      </c>
      <c r="C31" s="20">
        <v>36378.720000000001</v>
      </c>
      <c r="D31" s="21">
        <v>36897.546968844974</v>
      </c>
      <c r="E31" s="16">
        <f t="shared" si="5"/>
        <v>-1.4061286222714298E-2</v>
      </c>
      <c r="F31" s="44">
        <v>51969.599999999977</v>
      </c>
      <c r="G31" s="24">
        <f t="shared" si="6"/>
        <v>-0.29999999999999971</v>
      </c>
      <c r="H31" s="118">
        <v>33580.81</v>
      </c>
      <c r="I31" s="118">
        <v>18853.640000000003</v>
      </c>
    </row>
    <row r="32" spans="1:9" x14ac:dyDescent="0.3">
      <c r="B32" s="39" t="s">
        <v>62</v>
      </c>
      <c r="C32" s="89">
        <f>SUM(C33:C34)</f>
        <v>8195159.2400000002</v>
      </c>
      <c r="D32" s="65">
        <f>SUM(D33:D34)</f>
        <v>7497061.9171989998</v>
      </c>
      <c r="E32" s="123">
        <f t="shared" si="5"/>
        <v>9.3116120756518761E-2</v>
      </c>
      <c r="F32" s="55">
        <f>SUM(F33:F34)</f>
        <v>6943606.2100000009</v>
      </c>
      <c r="G32" s="134">
        <f t="shared" si="6"/>
        <v>0.1802453929771457</v>
      </c>
      <c r="H32" s="157">
        <f t="shared" ref="H32:I32" si="8">SUM(H33:H34)</f>
        <v>6343660.8099999977</v>
      </c>
      <c r="I32" s="157">
        <f t="shared" si="8"/>
        <v>5924325.96</v>
      </c>
    </row>
    <row r="33" spans="1:9" s="38" customFormat="1" x14ac:dyDescent="0.3">
      <c r="A33" s="85" t="s">
        <v>135</v>
      </c>
      <c r="B33" s="19" t="str">
        <f>A33</f>
        <v>Despesas com atletas</v>
      </c>
      <c r="C33" s="20">
        <v>5995760</v>
      </c>
      <c r="D33" s="21">
        <v>4954826.322603357</v>
      </c>
      <c r="E33" s="127">
        <f t="shared" si="5"/>
        <v>0.2100847960397767</v>
      </c>
      <c r="F33" s="44">
        <v>4715206.25</v>
      </c>
      <c r="G33" s="136">
        <f t="shared" si="6"/>
        <v>0.27157958360782208</v>
      </c>
      <c r="H33" s="118">
        <v>4251624.9899999993</v>
      </c>
      <c r="I33" s="118">
        <v>3941101.2699999996</v>
      </c>
    </row>
    <row r="34" spans="1:9" x14ac:dyDescent="0.3">
      <c r="A34" s="85" t="s">
        <v>63</v>
      </c>
      <c r="B34" s="19" t="str">
        <f>A34</f>
        <v>Serviços contratados</v>
      </c>
      <c r="C34" s="20">
        <v>2199399.2400000002</v>
      </c>
      <c r="D34" s="21">
        <v>2542235.5945956428</v>
      </c>
      <c r="E34" s="124">
        <f t="shared" si="5"/>
        <v>-0.13485624830541032</v>
      </c>
      <c r="F34" s="44">
        <v>2228399.9600000004</v>
      </c>
      <c r="G34" s="135">
        <f t="shared" si="6"/>
        <v>-1.301414491140096E-2</v>
      </c>
      <c r="H34" s="118">
        <v>2092035.8199999987</v>
      </c>
      <c r="I34" s="118">
        <v>1983224.6900000004</v>
      </c>
    </row>
    <row r="35" spans="1:9" x14ac:dyDescent="0.3">
      <c r="B35" s="39" t="s">
        <v>64</v>
      </c>
      <c r="C35" s="89">
        <f>SUM(C36:C38)</f>
        <v>1160074</v>
      </c>
      <c r="D35" s="65">
        <f>SUM(D36:D38)</f>
        <v>782469.56618760608</v>
      </c>
      <c r="E35" s="123">
        <f t="shared" si="5"/>
        <v>0.48258034577904452</v>
      </c>
      <c r="F35" s="55">
        <f>SUM(F36:F38)</f>
        <v>1269700.04</v>
      </c>
      <c r="G35" s="134">
        <f t="shared" si="6"/>
        <v>-8.6340109117425956E-2</v>
      </c>
      <c r="H35" s="157">
        <f t="shared" ref="H35:I35" si="9">SUM(H36:H38)</f>
        <v>535059.93000000005</v>
      </c>
      <c r="I35" s="157">
        <f t="shared" si="9"/>
        <v>744136.19999999984</v>
      </c>
    </row>
    <row r="36" spans="1:9" x14ac:dyDescent="0.3">
      <c r="A36" s="85" t="s">
        <v>67</v>
      </c>
      <c r="B36" s="19" t="str">
        <f>A36</f>
        <v>Mercadoria de uso geral</v>
      </c>
      <c r="C36" s="20">
        <v>584179</v>
      </c>
      <c r="D36" s="21">
        <v>187399.32831836719</v>
      </c>
      <c r="E36" s="127">
        <f t="shared" si="5"/>
        <v>2.1172950577899381</v>
      </c>
      <c r="F36" s="44">
        <v>697000.02000000014</v>
      </c>
      <c r="G36" s="136">
        <f t="shared" si="6"/>
        <v>-0.16186659506839052</v>
      </c>
      <c r="H36" s="118">
        <v>117638.09999999999</v>
      </c>
      <c r="I36" s="118">
        <v>354868.25999999995</v>
      </c>
    </row>
    <row r="37" spans="1:9" x14ac:dyDescent="0.3">
      <c r="A37" s="85" t="s">
        <v>66</v>
      </c>
      <c r="B37" s="19" t="str">
        <f>A37</f>
        <v>Mercadoria de revenda e consumo</v>
      </c>
      <c r="C37" s="20">
        <v>567895.00000000012</v>
      </c>
      <c r="D37" s="21">
        <v>582013.58703400346</v>
      </c>
      <c r="E37" s="127">
        <f t="shared" si="5"/>
        <v>-2.4258174291004075E-2</v>
      </c>
      <c r="F37" s="44">
        <v>565500.02</v>
      </c>
      <c r="G37" s="136">
        <f t="shared" si="6"/>
        <v>4.2351545805427993E-3</v>
      </c>
      <c r="H37" s="118">
        <v>389820.72000000009</v>
      </c>
      <c r="I37" s="118">
        <v>360599.59999999992</v>
      </c>
    </row>
    <row r="38" spans="1:9" x14ac:dyDescent="0.3">
      <c r="A38" s="85" t="s">
        <v>65</v>
      </c>
      <c r="B38" s="56" t="str">
        <f>A38</f>
        <v>Material de consumo geral</v>
      </c>
      <c r="C38" s="20">
        <v>8000</v>
      </c>
      <c r="D38" s="67">
        <v>13056.650835235494</v>
      </c>
      <c r="E38" s="124">
        <f t="shared" si="5"/>
        <v>-0.38728544548264243</v>
      </c>
      <c r="F38" s="59">
        <v>7200</v>
      </c>
      <c r="G38" s="135">
        <f t="shared" si="6"/>
        <v>0.11111111111111116</v>
      </c>
      <c r="H38" s="118">
        <v>27601.110000000004</v>
      </c>
      <c r="I38" s="118">
        <v>28668.339999999997</v>
      </c>
    </row>
    <row r="39" spans="1:9" s="45" customFormat="1" hidden="1" x14ac:dyDescent="0.3">
      <c r="B39" s="61" t="s">
        <v>68</v>
      </c>
      <c r="C39" s="87">
        <f>SUM(C40)</f>
        <v>0</v>
      </c>
      <c r="D39" s="62">
        <f>SUM(D40)</f>
        <v>0</v>
      </c>
      <c r="E39" s="16">
        <f t="shared" si="5"/>
        <v>0</v>
      </c>
      <c r="F39" s="63">
        <f>SUM(F40)</f>
        <v>0</v>
      </c>
      <c r="G39" s="24">
        <f t="shared" si="6"/>
        <v>0</v>
      </c>
      <c r="H39" s="156">
        <f t="shared" ref="H39:I39" si="10">SUM(H40)</f>
        <v>0</v>
      </c>
      <c r="I39" s="156">
        <f t="shared" si="10"/>
        <v>0</v>
      </c>
    </row>
    <row r="40" spans="1:9" hidden="1" x14ac:dyDescent="0.3">
      <c r="B40" s="19" t="s">
        <v>68</v>
      </c>
      <c r="C40" s="88">
        <v>0</v>
      </c>
      <c r="D40" s="21"/>
      <c r="E40" s="16">
        <f t="shared" si="5"/>
        <v>0</v>
      </c>
      <c r="F40" s="44">
        <v>0</v>
      </c>
      <c r="G40" s="24">
        <f t="shared" si="6"/>
        <v>0</v>
      </c>
      <c r="H40" s="155">
        <v>0</v>
      </c>
      <c r="I40" s="155">
        <v>0</v>
      </c>
    </row>
    <row r="41" spans="1:9" hidden="1" x14ac:dyDescent="0.3">
      <c r="B41" s="39" t="s">
        <v>69</v>
      </c>
      <c r="C41" s="94">
        <f>SUM(C42)</f>
        <v>0</v>
      </c>
      <c r="D41" s="15">
        <f>SUM(D42)</f>
        <v>0</v>
      </c>
      <c r="E41" s="16">
        <f t="shared" si="5"/>
        <v>0</v>
      </c>
      <c r="F41" s="86">
        <f>SUM(F42)</f>
        <v>0</v>
      </c>
      <c r="G41" s="24">
        <f t="shared" si="6"/>
        <v>0</v>
      </c>
      <c r="H41" s="158">
        <f t="shared" ref="H41:I41" si="11">SUM(H42)</f>
        <v>0</v>
      </c>
      <c r="I41" s="158">
        <f t="shared" si="11"/>
        <v>0</v>
      </c>
    </row>
    <row r="42" spans="1:9" hidden="1" x14ac:dyDescent="0.3">
      <c r="B42" s="19" t="s">
        <v>70</v>
      </c>
      <c r="C42" s="88">
        <v>0</v>
      </c>
      <c r="D42" s="21">
        <v>0</v>
      </c>
      <c r="E42" s="16">
        <f t="shared" si="5"/>
        <v>0</v>
      </c>
      <c r="F42" s="44">
        <v>0</v>
      </c>
      <c r="G42" s="24">
        <f t="shared" si="6"/>
        <v>0</v>
      </c>
      <c r="H42" s="155">
        <v>0</v>
      </c>
      <c r="I42" s="155">
        <v>0</v>
      </c>
    </row>
    <row r="43" spans="1:9" x14ac:dyDescent="0.3">
      <c r="B43" s="39" t="s">
        <v>71</v>
      </c>
      <c r="C43" s="89">
        <f>SUM(C44:C46)</f>
        <v>1840198.7899999996</v>
      </c>
      <c r="D43" s="65">
        <f>SUM(D44:D46)</f>
        <v>1982425.9314642232</v>
      </c>
      <c r="E43" s="16">
        <f t="shared" si="5"/>
        <v>-7.1743987609753646E-2</v>
      </c>
      <c r="F43" s="55">
        <f>SUM(F44:F46)</f>
        <v>2552999.9100000011</v>
      </c>
      <c r="G43" s="24">
        <f t="shared" si="6"/>
        <v>-0.27920138861266208</v>
      </c>
      <c r="H43" s="157">
        <f t="shared" ref="H43:I43" si="12">SUM(H44:H46)</f>
        <v>1817111.3399999996</v>
      </c>
      <c r="I43" s="157">
        <f t="shared" si="12"/>
        <v>1727925.8699999996</v>
      </c>
    </row>
    <row r="44" spans="1:9" x14ac:dyDescent="0.3">
      <c r="A44" s="85" t="s">
        <v>72</v>
      </c>
      <c r="B44" s="19" t="str">
        <f>A44</f>
        <v>Locomoções gerais - viagens - estadias</v>
      </c>
      <c r="C44" s="20">
        <v>1734198.7899999996</v>
      </c>
      <c r="D44" s="21">
        <v>1970628.6614642232</v>
      </c>
      <c r="E44" s="16">
        <f t="shared" si="5"/>
        <v>-0.11997687645959165</v>
      </c>
      <c r="F44" s="44">
        <v>2552999.9100000011</v>
      </c>
      <c r="G44" s="24">
        <f t="shared" si="6"/>
        <v>-0.32072117072655959</v>
      </c>
      <c r="H44" s="118">
        <v>1797420.8999999994</v>
      </c>
      <c r="I44" s="118">
        <v>1674638.7399999998</v>
      </c>
    </row>
    <row r="45" spans="1:9" x14ac:dyDescent="0.3">
      <c r="A45" s="85" t="s">
        <v>73</v>
      </c>
      <c r="B45" s="19" t="str">
        <f>A45</f>
        <v>Outros gastos gerais</v>
      </c>
      <c r="C45" s="20">
        <v>105999.99999999996</v>
      </c>
      <c r="D45" s="21">
        <v>10129.23</v>
      </c>
      <c r="E45" s="16">
        <f t="shared" si="5"/>
        <v>9.4647638566801184</v>
      </c>
      <c r="F45" s="44">
        <v>0</v>
      </c>
      <c r="G45" s="24">
        <f t="shared" si="6"/>
        <v>0</v>
      </c>
      <c r="H45" s="118">
        <v>13295.830000000002</v>
      </c>
      <c r="I45" s="118">
        <v>50358.75</v>
      </c>
    </row>
    <row r="46" spans="1:9" x14ac:dyDescent="0.3">
      <c r="A46" s="85" t="s">
        <v>82</v>
      </c>
      <c r="B46" s="56" t="str">
        <f>A46</f>
        <v>Despesas financeiras</v>
      </c>
      <c r="C46" s="20">
        <v>0</v>
      </c>
      <c r="D46" s="67">
        <v>1668.0399999999997</v>
      </c>
      <c r="E46" s="16">
        <f t="shared" si="5"/>
        <v>-1</v>
      </c>
      <c r="F46" s="44">
        <v>0</v>
      </c>
      <c r="G46" s="24">
        <f t="shared" si="6"/>
        <v>0</v>
      </c>
      <c r="H46" s="118">
        <v>6394.6100000000006</v>
      </c>
      <c r="I46" s="118">
        <v>2928.38</v>
      </c>
    </row>
    <row r="47" spans="1:9" x14ac:dyDescent="0.3">
      <c r="B47" s="26" t="s">
        <v>51</v>
      </c>
      <c r="C47" s="51">
        <f>SUM(C43+C39+C35+C32+C27)</f>
        <v>14941256.139572617</v>
      </c>
      <c r="D47" s="28">
        <f>SUM(D43+D39+D35+D32+D27)</f>
        <v>14045354.88359113</v>
      </c>
      <c r="E47" s="121">
        <f t="shared" si="5"/>
        <v>6.3786302546769313E-2</v>
      </c>
      <c r="F47" s="49">
        <f>SUM(F43+F39+F35+F32+F27)</f>
        <v>14471290.839999998</v>
      </c>
      <c r="G47" s="120">
        <f t="shared" si="6"/>
        <v>3.2475699975125227E-2</v>
      </c>
      <c r="H47" s="150">
        <f t="shared" ref="H47:I47" si="13">SUM(H43+H39+H35+H32+H27)</f>
        <v>12315073.429999994</v>
      </c>
      <c r="I47" s="142">
        <f t="shared" si="13"/>
        <v>11104846.219999999</v>
      </c>
    </row>
    <row r="49" customFormat="1" x14ac:dyDescent="0.3"/>
    <row r="50" customFormat="1" x14ac:dyDescent="0.3"/>
  </sheetData>
  <mergeCells count="3">
    <mergeCell ref="B3:B4"/>
    <mergeCell ref="B9:B10"/>
    <mergeCell ref="B25:B26"/>
  </mergeCells>
  <pageMargins left="0.511811024" right="0.511811024" top="0.78740157499999996" bottom="0.78740157499999996" header="0.31496062000000002" footer="0.31496062000000002"/>
  <ignoredErrors>
    <ignoredError sqref="F32 F35 C35:D35 C32:D32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3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4.3320312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377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">
        <v>121</v>
      </c>
      <c r="B5" s="19" t="s">
        <v>121</v>
      </c>
      <c r="C5" s="88">
        <v>14941256.139572669</v>
      </c>
      <c r="D5" s="21">
        <v>14045354.883591129</v>
      </c>
      <c r="E5" s="16">
        <f>IFERROR(C5/D5-1,0)</f>
        <v>6.3786302546773088E-2</v>
      </c>
      <c r="F5" s="64">
        <v>14471290.839999998</v>
      </c>
      <c r="G5" s="17">
        <f>IFERROR(C5/F5-1,0)</f>
        <v>3.247569997512878E-2</v>
      </c>
      <c r="H5" s="155">
        <v>12319027.850000024</v>
      </c>
      <c r="I5" s="155">
        <v>11104846.219999999</v>
      </c>
    </row>
    <row r="6" spans="1:9" s="45" customFormat="1" x14ac:dyDescent="0.3">
      <c r="A6" s="38" t="s">
        <v>120</v>
      </c>
      <c r="B6" s="100" t="s">
        <v>120</v>
      </c>
      <c r="C6" s="87">
        <v>19682859.875839431</v>
      </c>
      <c r="D6" s="62">
        <v>18026238.925246995</v>
      </c>
      <c r="E6" s="16">
        <f t="shared" ref="E6:E24" si="0">IFERROR(C6/D6-1,0)</f>
        <v>9.1900532188787576E-2</v>
      </c>
      <c r="F6" s="63">
        <v>18113296.569999963</v>
      </c>
      <c r="G6" s="22">
        <f t="shared" ref="G6:G23" si="1">IFERROR(C6/F6-1,0)</f>
        <v>8.6652548296429321E-2</v>
      </c>
      <c r="H6" s="156">
        <v>18394144.529999949</v>
      </c>
      <c r="I6" s="156">
        <v>16372481.019999998</v>
      </c>
    </row>
    <row r="7" spans="1:9" x14ac:dyDescent="0.3">
      <c r="B7" s="46" t="s">
        <v>51</v>
      </c>
      <c r="C7" s="51">
        <f>SUM(C5:C6)</f>
        <v>34624116.0154121</v>
      </c>
      <c r="D7" s="28">
        <f>SUM(D5:D6)</f>
        <v>32071593.808838122</v>
      </c>
      <c r="E7" s="121">
        <f t="shared" si="0"/>
        <v>7.9588255631703797E-2</v>
      </c>
      <c r="F7" s="28">
        <f>SUM(F5:F6)</f>
        <v>32584587.409999959</v>
      </c>
      <c r="G7" s="122">
        <f t="shared" si="1"/>
        <v>6.2591819247225677E-2</v>
      </c>
      <c r="H7" s="150">
        <f t="shared" ref="H7:I7" si="2">SUM(H5:H6)</f>
        <v>30713172.379999973</v>
      </c>
      <c r="I7" s="142">
        <f t="shared" si="2"/>
        <v>27477327.239999995</v>
      </c>
    </row>
    <row r="8" spans="1:9" x14ac:dyDescent="0.3">
      <c r="B8" s="38"/>
      <c r="C8" s="50"/>
      <c r="D8" s="50"/>
      <c r="E8" s="50"/>
      <c r="F8" s="50"/>
      <c r="G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A10" s="78"/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 s="115" t="s">
        <v>123</v>
      </c>
      <c r="B11" s="19" t="str">
        <f>A11</f>
        <v>Natação Formação e Especialização</v>
      </c>
      <c r="C11" s="88">
        <v>4192594.0999360494</v>
      </c>
      <c r="D11" s="118">
        <v>2974189.2256599246</v>
      </c>
      <c r="E11" s="141">
        <f t="shared" si="0"/>
        <v>0.4096595010715165</v>
      </c>
      <c r="F11" s="119">
        <v>3268996.2399999993</v>
      </c>
      <c r="G11" s="22">
        <f>IFERROR(C11/F11-1,0)</f>
        <v>0.28253255498882135</v>
      </c>
      <c r="H11" s="155">
        <v>2908859.1100000027</v>
      </c>
      <c r="I11" s="155">
        <v>1996618.4799999997</v>
      </c>
    </row>
    <row r="12" spans="1:9" x14ac:dyDescent="0.3">
      <c r="A12" s="115" t="s">
        <v>124</v>
      </c>
      <c r="B12" s="19" t="str">
        <f t="shared" ref="B12:B23" si="3">A12</f>
        <v>Natação Escolinha</v>
      </c>
      <c r="C12" s="88">
        <v>3933931.2211390622</v>
      </c>
      <c r="D12" s="118">
        <v>4050114.9409644692</v>
      </c>
      <c r="E12" s="141">
        <f t="shared" si="0"/>
        <v>-2.8686524091027343E-2</v>
      </c>
      <c r="F12" s="119">
        <v>3808044.9999999995</v>
      </c>
      <c r="G12" s="22">
        <f>IFERROR(C12/F12-1,0)</f>
        <v>3.3057965738078954E-2</v>
      </c>
      <c r="H12" s="155">
        <v>3592768.12</v>
      </c>
      <c r="I12" s="155">
        <v>3641335.47</v>
      </c>
    </row>
    <row r="13" spans="1:9" x14ac:dyDescent="0.3">
      <c r="A13" s="115" t="s">
        <v>122</v>
      </c>
      <c r="B13" s="19" t="str">
        <f t="shared" si="3"/>
        <v>Natação Alto Rendimento</v>
      </c>
      <c r="C13" s="88">
        <v>3917714.9774604575</v>
      </c>
      <c r="D13" s="118">
        <v>3802362.7855799887</v>
      </c>
      <c r="E13" s="141">
        <f t="shared" si="0"/>
        <v>3.0336976870783738E-2</v>
      </c>
      <c r="F13" s="119">
        <v>3242450.0599999987</v>
      </c>
      <c r="G13" s="24">
        <f t="shared" si="1"/>
        <v>0.20825761537263565</v>
      </c>
      <c r="H13" s="155">
        <v>4759472.8699999982</v>
      </c>
      <c r="I13" s="155">
        <v>4435115.62</v>
      </c>
    </row>
    <row r="14" spans="1:9" x14ac:dyDescent="0.3">
      <c r="A14" s="115" t="s">
        <v>125</v>
      </c>
      <c r="B14" s="19" t="str">
        <f t="shared" si="3"/>
        <v>Polo Aquático Alto Rendimento</v>
      </c>
      <c r="C14" s="88">
        <v>2235110.3393843519</v>
      </c>
      <c r="D14" s="118">
        <v>2205268.0521539073</v>
      </c>
      <c r="E14" s="141">
        <f t="shared" si="0"/>
        <v>1.3532272052505068E-2</v>
      </c>
      <c r="F14" s="119">
        <v>2178380.3599999989</v>
      </c>
      <c r="G14" s="24">
        <f t="shared" si="1"/>
        <v>2.604227453848007E-2</v>
      </c>
      <c r="H14" s="155">
        <v>2277525.0200000014</v>
      </c>
      <c r="I14" s="155">
        <v>2181549.5</v>
      </c>
    </row>
    <row r="15" spans="1:9" x14ac:dyDescent="0.3">
      <c r="A15" s="115" t="s">
        <v>126</v>
      </c>
      <c r="B15" s="19" t="str">
        <f t="shared" si="3"/>
        <v>Polo Aquático Formação e Especialização</v>
      </c>
      <c r="C15" s="88">
        <v>972439.73106752033</v>
      </c>
      <c r="D15" s="118">
        <v>868047.64925342484</v>
      </c>
      <c r="E15" s="141">
        <f t="shared" si="0"/>
        <v>0.12026077359218612</v>
      </c>
      <c r="F15" s="119">
        <v>1029035.5799999995</v>
      </c>
      <c r="G15" s="22">
        <f t="shared" si="1"/>
        <v>-5.499892329522682E-2</v>
      </c>
      <c r="H15" s="155">
        <v>795898.66000000015</v>
      </c>
      <c r="I15" s="155">
        <v>763986.00999999989</v>
      </c>
    </row>
    <row r="16" spans="1:9" x14ac:dyDescent="0.3">
      <c r="A16" s="115" t="s">
        <v>128</v>
      </c>
      <c r="B16" s="19" t="str">
        <f t="shared" si="3"/>
        <v>Natação Aulas e Aperfeiçoamento</v>
      </c>
      <c r="C16" s="88">
        <v>840248.11852837994</v>
      </c>
      <c r="D16" s="118">
        <v>702283.07925178006</v>
      </c>
      <c r="E16" s="141">
        <f t="shared" si="0"/>
        <v>0.1964521762699869</v>
      </c>
      <c r="F16" s="119">
        <v>726906.46999999986</v>
      </c>
      <c r="G16" s="24">
        <f t="shared" si="1"/>
        <v>0.15592329028022012</v>
      </c>
      <c r="H16" s="155">
        <v>593304.68999999971</v>
      </c>
      <c r="I16" s="155">
        <v>783394.54999999993</v>
      </c>
    </row>
    <row r="17" spans="1:9" x14ac:dyDescent="0.3">
      <c r="A17" s="115" t="s">
        <v>127</v>
      </c>
      <c r="B17" s="19" t="str">
        <f t="shared" si="3"/>
        <v>Remo Alto Rendimento</v>
      </c>
      <c r="C17" s="88">
        <v>784309.72544984345</v>
      </c>
      <c r="D17" s="118">
        <v>658200.64680831425</v>
      </c>
      <c r="E17" s="141">
        <f t="shared" si="0"/>
        <v>0.19159671029350345</v>
      </c>
      <c r="F17" s="119">
        <v>894053.54000000085</v>
      </c>
      <c r="G17" s="22">
        <f t="shared" si="1"/>
        <v>-0.12274859350163447</v>
      </c>
      <c r="H17" s="155">
        <v>789935.7</v>
      </c>
      <c r="I17" s="155">
        <v>656288.75</v>
      </c>
    </row>
    <row r="18" spans="1:9" x14ac:dyDescent="0.3">
      <c r="A18" s="115" t="s">
        <v>129</v>
      </c>
      <c r="B18" s="19" t="str">
        <f t="shared" si="3"/>
        <v>Saltos Ornamentais Formação e Especialização</v>
      </c>
      <c r="C18" s="88">
        <v>727021.75489806011</v>
      </c>
      <c r="D18" s="118">
        <v>709448.11491281714</v>
      </c>
      <c r="E18" s="141">
        <f t="shared" si="0"/>
        <v>2.4770860075373546E-2</v>
      </c>
      <c r="F18" s="119">
        <v>714063.43999999959</v>
      </c>
      <c r="G18" s="24">
        <f t="shared" si="1"/>
        <v>1.8147288002954731E-2</v>
      </c>
      <c r="H18" s="155">
        <v>546771.63000000035</v>
      </c>
      <c r="I18" s="155">
        <v>582225.4</v>
      </c>
    </row>
    <row r="19" spans="1:9" x14ac:dyDescent="0.3">
      <c r="A19" s="115" t="s">
        <v>130</v>
      </c>
      <c r="B19" s="19" t="str">
        <f t="shared" si="3"/>
        <v>Triathlon Alto Rendimento</v>
      </c>
      <c r="C19" s="88">
        <v>726343.35156236298</v>
      </c>
      <c r="D19" s="118">
        <v>598662.72900030087</v>
      </c>
      <c r="E19" s="141">
        <f t="shared" si="0"/>
        <v>0.21327638481065003</v>
      </c>
      <c r="F19" s="119">
        <v>679519.41999999993</v>
      </c>
      <c r="G19" s="24">
        <f t="shared" si="1"/>
        <v>6.8907422193118517E-2</v>
      </c>
      <c r="H19" s="155">
        <v>639968.56000000006</v>
      </c>
      <c r="I19" s="155">
        <v>267684.39</v>
      </c>
    </row>
    <row r="20" spans="1:9" x14ac:dyDescent="0.3">
      <c r="A20" s="115" t="s">
        <v>132</v>
      </c>
      <c r="B20" s="19" t="str">
        <f t="shared" si="3"/>
        <v>Remo Formação e Especialização</v>
      </c>
      <c r="C20" s="88">
        <v>581065.30408260366</v>
      </c>
      <c r="D20" s="118">
        <v>521587.32191222103</v>
      </c>
      <c r="E20" s="141">
        <f t="shared" si="0"/>
        <v>0.11403264548748426</v>
      </c>
      <c r="F20" s="119">
        <v>639011.74999999942</v>
      </c>
      <c r="G20" s="22">
        <f t="shared" si="1"/>
        <v>-9.068134649698667E-2</v>
      </c>
      <c r="H20" s="155">
        <v>451962.16000000003</v>
      </c>
      <c r="I20" s="155">
        <v>505755.73</v>
      </c>
    </row>
    <row r="21" spans="1:9" x14ac:dyDescent="0.3">
      <c r="A21" s="115" t="s">
        <v>131</v>
      </c>
      <c r="B21" s="19" t="str">
        <f t="shared" si="3"/>
        <v>Saltos Ornamentais Alto Rendimento</v>
      </c>
      <c r="C21" s="88">
        <v>382000</v>
      </c>
      <c r="D21" s="118">
        <v>638319.74250839849</v>
      </c>
      <c r="E21" s="141">
        <f t="shared" si="0"/>
        <v>-0.40155383805166589</v>
      </c>
      <c r="F21" s="119">
        <v>685380.03999999992</v>
      </c>
      <c r="G21" s="22">
        <f t="shared" si="1"/>
        <v>-0.44264498861099011</v>
      </c>
      <c r="H21" s="155">
        <v>671458.2100000002</v>
      </c>
      <c r="I21" s="155">
        <v>205529.90999999997</v>
      </c>
    </row>
    <row r="22" spans="1:9" x14ac:dyDescent="0.3">
      <c r="A22" s="115" t="s">
        <v>134</v>
      </c>
      <c r="B22" s="19" t="str">
        <f t="shared" si="3"/>
        <v>Triathlon Formação e Especialização</v>
      </c>
      <c r="C22" s="88">
        <v>258051.23262509351</v>
      </c>
      <c r="D22" s="21">
        <v>186256.30920837881</v>
      </c>
      <c r="E22" s="16">
        <f t="shared" si="0"/>
        <v>0.38546304134262854</v>
      </c>
      <c r="F22" s="64">
        <v>122392.73</v>
      </c>
      <c r="G22" s="22">
        <f t="shared" si="1"/>
        <v>1.1083869329909835</v>
      </c>
      <c r="H22" s="155">
        <v>277172.28000000009</v>
      </c>
      <c r="I22" s="155">
        <v>296859.2900000001</v>
      </c>
    </row>
    <row r="23" spans="1:9" x14ac:dyDescent="0.3">
      <c r="A23" s="115" t="s">
        <v>133</v>
      </c>
      <c r="B23" s="19" t="str">
        <f t="shared" si="3"/>
        <v>Canoagem</v>
      </c>
      <c r="C23" s="88">
        <v>132030.01970564981</v>
      </c>
      <c r="D23" s="21">
        <v>111498.32803309376</v>
      </c>
      <c r="E23" s="16">
        <f t="shared" si="0"/>
        <v>0.18414349376128825</v>
      </c>
      <c r="F23" s="64">
        <v>125061.9399999999</v>
      </c>
      <c r="G23" s="22">
        <f t="shared" si="1"/>
        <v>5.571702874311657E-2</v>
      </c>
      <c r="H23" s="155">
        <v>89047.52</v>
      </c>
      <c r="I23" s="155">
        <v>56137.919999999998</v>
      </c>
    </row>
    <row r="24" spans="1:9" x14ac:dyDescent="0.3">
      <c r="B24" s="46" t="s">
        <v>51</v>
      </c>
      <c r="C24" s="51">
        <f>SUM(C11:C23)</f>
        <v>19682859.875839431</v>
      </c>
      <c r="D24" s="28">
        <f>SUM(D11:D23)</f>
        <v>18026238.925247017</v>
      </c>
      <c r="E24" s="121">
        <f t="shared" si="0"/>
        <v>9.1900532188786244E-2</v>
      </c>
      <c r="F24" s="28">
        <f>SUM(F11:F23)</f>
        <v>18113296.569999997</v>
      </c>
      <c r="G24" s="120">
        <f>IFERROR(C24/F24-1,0)</f>
        <v>8.6652548296427323E-2</v>
      </c>
      <c r="H24" s="150">
        <f t="shared" ref="H24:I24" si="4">SUM(H11:H23)</f>
        <v>18394144.530000005</v>
      </c>
      <c r="I24" s="142">
        <f t="shared" si="4"/>
        <v>16372481.020000003</v>
      </c>
    </row>
    <row r="25" spans="1:9" x14ac:dyDescent="0.3">
      <c r="A25" s="78"/>
      <c r="B25" s="38"/>
      <c r="C25" s="50"/>
      <c r="D25" s="50"/>
      <c r="E25" s="50"/>
      <c r="F25" s="50"/>
      <c r="G25" s="50"/>
      <c r="H25" s="50"/>
      <c r="I25" s="50"/>
    </row>
    <row r="26" spans="1:9" x14ac:dyDescent="0.3">
      <c r="A26" s="78"/>
      <c r="B26" s="202" t="s">
        <v>56</v>
      </c>
      <c r="C26" s="8"/>
      <c r="D26" s="8"/>
      <c r="E26" s="36"/>
      <c r="F26" s="36"/>
      <c r="G26" s="36"/>
      <c r="H26" s="8"/>
      <c r="I26" s="8"/>
    </row>
    <row r="27" spans="1:9" ht="43.2" x14ac:dyDescent="0.3">
      <c r="B27" s="203"/>
      <c r="C27" s="10" t="str">
        <f>'23-Despesas '!C$4</f>
        <v>Orçamento 2026</v>
      </c>
      <c r="D27" s="10" t="str">
        <f>'23-Despesas '!D$4</f>
        <v>Projeção 2025</v>
      </c>
      <c r="E27" s="11" t="s">
        <v>6</v>
      </c>
      <c r="F27" s="37" t="str">
        <f>'23-Despesas '!F$4</f>
        <v>Orçamento 2025</v>
      </c>
      <c r="G27" s="12" t="s">
        <v>8</v>
      </c>
      <c r="H27" s="10" t="s">
        <v>382</v>
      </c>
      <c r="I27" s="10" t="s">
        <v>197</v>
      </c>
    </row>
    <row r="28" spans="1:9" x14ac:dyDescent="0.3">
      <c r="B28" s="39" t="s">
        <v>57</v>
      </c>
      <c r="C28" s="89">
        <f>SUM(C29:C32)</f>
        <v>7323564.2978107678</v>
      </c>
      <c r="D28" s="65">
        <f>SUM(D29:D32)</f>
        <v>7216778.1519114021</v>
      </c>
      <c r="E28" s="129">
        <f t="shared" ref="E28:E52" si="5">IFERROR(C28/D28-1,0)</f>
        <v>1.4796927888254707E-2</v>
      </c>
      <c r="F28" s="66">
        <f>SUM(F29:F32)</f>
        <v>6896657.700000002</v>
      </c>
      <c r="G28" s="130">
        <f t="shared" ref="G28:G52" si="6">IFERROR(C28/F28-1,0)</f>
        <v>6.1900505488443391E-2</v>
      </c>
      <c r="H28" s="157">
        <f t="shared" ref="H28:I28" si="7">SUM(H29:H32)</f>
        <v>6997532.5700000003</v>
      </c>
      <c r="I28" s="157">
        <f t="shared" si="7"/>
        <v>6323013.7400000002</v>
      </c>
    </row>
    <row r="29" spans="1:9" x14ac:dyDescent="0.3">
      <c r="A29" s="85" t="s">
        <v>58</v>
      </c>
      <c r="B29" s="19" t="str">
        <f>A29</f>
        <v>Salários e provisões</v>
      </c>
      <c r="C29" s="20">
        <v>4808929.3748318749</v>
      </c>
      <c r="D29" s="21">
        <v>4512513.881375405</v>
      </c>
      <c r="E29" s="16">
        <f t="shared" si="5"/>
        <v>6.5687441911230771E-2</v>
      </c>
      <c r="F29" s="44">
        <v>4137517.470000003</v>
      </c>
      <c r="G29" s="22">
        <f t="shared" si="6"/>
        <v>0.16227409544493621</v>
      </c>
      <c r="H29" s="118">
        <v>4556684.2900000028</v>
      </c>
      <c r="I29" s="118">
        <v>4142381.93</v>
      </c>
    </row>
    <row r="30" spans="1:9" x14ac:dyDescent="0.3">
      <c r="A30" s="85" t="s">
        <v>59</v>
      </c>
      <c r="B30" s="19" t="str">
        <f>A30</f>
        <v>Encargos sociais</v>
      </c>
      <c r="C30" s="20">
        <v>1707169.9280653158</v>
      </c>
      <c r="D30" s="21">
        <v>1941904.2392707814</v>
      </c>
      <c r="E30" s="16">
        <f t="shared" si="5"/>
        <v>-0.12087841741033145</v>
      </c>
      <c r="F30" s="64">
        <v>1963098.1699999985</v>
      </c>
      <c r="G30" s="22">
        <f t="shared" si="6"/>
        <v>-0.13036955861187671</v>
      </c>
      <c r="H30" s="118">
        <v>1735828.4999999981</v>
      </c>
      <c r="I30" s="118">
        <v>1527950.6900000002</v>
      </c>
    </row>
    <row r="31" spans="1:9" x14ac:dyDescent="0.3">
      <c r="A31" s="85" t="s">
        <v>60</v>
      </c>
      <c r="B31" s="19" t="str">
        <f>A31</f>
        <v>Benefícios</v>
      </c>
      <c r="C31" s="20">
        <v>740770.67491357657</v>
      </c>
      <c r="D31" s="21">
        <v>701295.06864008924</v>
      </c>
      <c r="E31" s="16">
        <f t="shared" si="5"/>
        <v>5.6289582001533445E-2</v>
      </c>
      <c r="F31" s="64">
        <v>726749.26000000024</v>
      </c>
      <c r="G31" s="22">
        <f t="shared" si="6"/>
        <v>1.9293332219665782E-2</v>
      </c>
      <c r="H31" s="118">
        <v>647916.4099999991</v>
      </c>
      <c r="I31" s="118">
        <v>586726.63</v>
      </c>
    </row>
    <row r="32" spans="1:9" x14ac:dyDescent="0.3">
      <c r="A32" s="85" t="s">
        <v>61</v>
      </c>
      <c r="B32" s="19" t="str">
        <f>A32</f>
        <v>Outros</v>
      </c>
      <c r="C32" s="20">
        <v>66694.319999999978</v>
      </c>
      <c r="D32" s="21">
        <v>61064.962625126624</v>
      </c>
      <c r="E32" s="16">
        <f t="shared" si="5"/>
        <v>9.2186372231676694E-2</v>
      </c>
      <c r="F32" s="64">
        <v>69292.799999999974</v>
      </c>
      <c r="G32" s="22">
        <f t="shared" si="6"/>
        <v>-3.7499999999999978E-2</v>
      </c>
      <c r="H32" s="118">
        <v>57103.369999999995</v>
      </c>
      <c r="I32" s="118">
        <v>65954.490000000005</v>
      </c>
    </row>
    <row r="33" spans="1:9" x14ac:dyDescent="0.3">
      <c r="B33" s="39" t="s">
        <v>62</v>
      </c>
      <c r="C33" s="89">
        <f>SUM(C34:C36)</f>
        <v>7518823.682222221</v>
      </c>
      <c r="D33" s="65">
        <f>SUM(D34:D36)</f>
        <v>6873737.8412395194</v>
      </c>
      <c r="E33" s="131">
        <f t="shared" si="5"/>
        <v>9.3847897007718117E-2</v>
      </c>
      <c r="F33" s="66">
        <f>SUM(F34:F36)</f>
        <v>6582774.7399999993</v>
      </c>
      <c r="G33" s="132">
        <f t="shared" si="6"/>
        <v>0.14219671478872775</v>
      </c>
      <c r="H33" s="157">
        <f t="shared" ref="H33:I33" si="8">SUM(H34:H36)</f>
        <v>7413785.7800000003</v>
      </c>
      <c r="I33" s="157">
        <f t="shared" si="8"/>
        <v>6597053.7999999989</v>
      </c>
    </row>
    <row r="34" spans="1:9" s="38" customFormat="1" x14ac:dyDescent="0.3">
      <c r="A34" s="85" t="s">
        <v>135</v>
      </c>
      <c r="B34" s="19" t="str">
        <f>A34</f>
        <v>Despesas com atletas</v>
      </c>
      <c r="C34" s="20">
        <v>5537679.9999999991</v>
      </c>
      <c r="D34" s="21">
        <v>4506871.6414116183</v>
      </c>
      <c r="E34" s="127">
        <f t="shared" si="5"/>
        <v>0.22871926262925846</v>
      </c>
      <c r="F34" s="64">
        <v>4263101.5399999991</v>
      </c>
      <c r="G34" s="128">
        <f t="shared" si="6"/>
        <v>0.29897914653001689</v>
      </c>
      <c r="H34" s="118">
        <v>4947285.1399999987</v>
      </c>
      <c r="I34" s="118">
        <v>4363199.54</v>
      </c>
    </row>
    <row r="35" spans="1:9" s="38" customFormat="1" x14ac:dyDescent="0.3">
      <c r="A35" s="85" t="s">
        <v>63</v>
      </c>
      <c r="B35" s="19" t="str">
        <f>A35</f>
        <v>Serviços contratados</v>
      </c>
      <c r="C35" s="20">
        <v>1981143.682222222</v>
      </c>
      <c r="D35" s="21">
        <v>2365626.5887901746</v>
      </c>
      <c r="E35" s="127">
        <f t="shared" si="5"/>
        <v>-0.16252899269473642</v>
      </c>
      <c r="F35" s="64">
        <v>2318390.7000000002</v>
      </c>
      <c r="G35" s="128">
        <f t="shared" si="6"/>
        <v>-0.14546599836592611</v>
      </c>
      <c r="H35" s="118">
        <v>2463581.0900000012</v>
      </c>
      <c r="I35" s="118">
        <v>2233520.9199999995</v>
      </c>
    </row>
    <row r="36" spans="1:9" x14ac:dyDescent="0.3">
      <c r="A36" s="85" t="s">
        <v>100</v>
      </c>
      <c r="B36" s="19" t="str">
        <f>A36</f>
        <v>Encargos sobre serviços contratados</v>
      </c>
      <c r="C36" s="20">
        <v>0</v>
      </c>
      <c r="D36" s="21">
        <v>1239.6110377265845</v>
      </c>
      <c r="E36" s="124">
        <f t="shared" si="5"/>
        <v>-1</v>
      </c>
      <c r="F36" s="64">
        <v>1282.5</v>
      </c>
      <c r="G36" s="126">
        <f t="shared" si="6"/>
        <v>-1</v>
      </c>
      <c r="H36" s="118">
        <v>2919.55</v>
      </c>
      <c r="I36" s="118">
        <v>333.34</v>
      </c>
    </row>
    <row r="37" spans="1:9" x14ac:dyDescent="0.3">
      <c r="B37" s="39" t="s">
        <v>64</v>
      </c>
      <c r="C37" s="89">
        <f>SUM(C38:C40)</f>
        <v>1499061.0158064514</v>
      </c>
      <c r="D37" s="65">
        <f>SUM(D38:D40)</f>
        <v>1189828.7796418434</v>
      </c>
      <c r="E37" s="131">
        <f t="shared" si="5"/>
        <v>0.25989641657322471</v>
      </c>
      <c r="F37" s="66">
        <f>SUM(F38:F40)</f>
        <v>1306858.83</v>
      </c>
      <c r="G37" s="132">
        <f t="shared" si="6"/>
        <v>0.14707188059972132</v>
      </c>
      <c r="H37" s="157">
        <f t="shared" ref="H37:I37" si="9">SUM(H38:H40)</f>
        <v>952697.67999999982</v>
      </c>
      <c r="I37" s="157">
        <f t="shared" si="9"/>
        <v>928683.62999999989</v>
      </c>
    </row>
    <row r="38" spans="1:9" x14ac:dyDescent="0.3">
      <c r="A38" s="85" t="s">
        <v>66</v>
      </c>
      <c r="B38" s="19" t="str">
        <f>A38</f>
        <v>Mercadoria de revenda e consumo</v>
      </c>
      <c r="C38" s="20">
        <v>848610.01580645156</v>
      </c>
      <c r="D38" s="21">
        <v>837977.42370872479</v>
      </c>
      <c r="E38" s="127">
        <f t="shared" si="5"/>
        <v>1.268839922998044E-2</v>
      </c>
      <c r="F38" s="64">
        <v>759240.82000000007</v>
      </c>
      <c r="G38" s="128">
        <f t="shared" si="6"/>
        <v>0.11770862874107779</v>
      </c>
      <c r="H38" s="118">
        <v>699172.36999999976</v>
      </c>
      <c r="I38" s="118">
        <v>613994.94999999995</v>
      </c>
    </row>
    <row r="39" spans="1:9" x14ac:dyDescent="0.3">
      <c r="A39" s="85" t="s">
        <v>67</v>
      </c>
      <c r="B39" s="19" t="str">
        <f>A39</f>
        <v>Mercadoria de uso geral</v>
      </c>
      <c r="C39" s="20">
        <v>589451</v>
      </c>
      <c r="D39" s="21">
        <v>327219.17138438491</v>
      </c>
      <c r="E39" s="127">
        <f t="shared" si="5"/>
        <v>0.80139506345601896</v>
      </c>
      <c r="F39" s="64">
        <v>507418.01</v>
      </c>
      <c r="G39" s="128">
        <f t="shared" si="6"/>
        <v>0.16166747806212078</v>
      </c>
      <c r="H39" s="118">
        <v>251011.42000000004</v>
      </c>
      <c r="I39" s="118">
        <v>280819.45999999996</v>
      </c>
    </row>
    <row r="40" spans="1:9" x14ac:dyDescent="0.3">
      <c r="A40" s="85" t="s">
        <v>65</v>
      </c>
      <c r="B40" s="56" t="str">
        <f>A40</f>
        <v>Material de consumo geral</v>
      </c>
      <c r="C40" s="20">
        <v>61000</v>
      </c>
      <c r="D40" s="67">
        <v>24632.184548733727</v>
      </c>
      <c r="E40" s="124">
        <f t="shared" si="5"/>
        <v>1.4764348399271734</v>
      </c>
      <c r="F40" s="90">
        <v>40200</v>
      </c>
      <c r="G40" s="126">
        <f t="shared" si="6"/>
        <v>0.51741293532338317</v>
      </c>
      <c r="H40" s="118">
        <v>2513.89</v>
      </c>
      <c r="I40" s="118">
        <v>33869.219999999994</v>
      </c>
    </row>
    <row r="41" spans="1:9" s="45" customFormat="1" hidden="1" x14ac:dyDescent="0.3">
      <c r="B41" s="61" t="s">
        <v>68</v>
      </c>
      <c r="C41" s="87">
        <f>SUM(C42)</f>
        <v>0</v>
      </c>
      <c r="D41" s="62">
        <f>SUM(D42)</f>
        <v>0</v>
      </c>
      <c r="E41" s="16">
        <f t="shared" si="5"/>
        <v>0</v>
      </c>
      <c r="F41" s="63">
        <f>SUM(F42)</f>
        <v>0</v>
      </c>
      <c r="G41" s="22">
        <f t="shared" si="6"/>
        <v>0</v>
      </c>
      <c r="H41" s="156">
        <f t="shared" ref="H41:I41" si="10">SUM(H42)</f>
        <v>0</v>
      </c>
      <c r="I41" s="156">
        <f t="shared" si="10"/>
        <v>0</v>
      </c>
    </row>
    <row r="42" spans="1:9" hidden="1" x14ac:dyDescent="0.3">
      <c r="B42" s="19" t="s">
        <v>68</v>
      </c>
      <c r="C42" s="88">
        <v>0</v>
      </c>
      <c r="D42" s="21"/>
      <c r="E42" s="16">
        <f t="shared" si="5"/>
        <v>0</v>
      </c>
      <c r="F42" s="64">
        <v>0</v>
      </c>
      <c r="G42" s="22">
        <f t="shared" si="6"/>
        <v>0</v>
      </c>
      <c r="H42" s="155">
        <v>0</v>
      </c>
      <c r="I42" s="155">
        <v>0</v>
      </c>
    </row>
    <row r="43" spans="1:9" hidden="1" x14ac:dyDescent="0.3">
      <c r="B43" s="39" t="s">
        <v>69</v>
      </c>
      <c r="C43" s="89">
        <f>SUM(C44:C45)</f>
        <v>0</v>
      </c>
      <c r="D43" s="65">
        <f>SUM(D44:D45)</f>
        <v>0</v>
      </c>
      <c r="E43" s="16">
        <f t="shared" si="5"/>
        <v>0</v>
      </c>
      <c r="F43" s="66">
        <f>SUM(F44:F45)</f>
        <v>0</v>
      </c>
      <c r="G43" s="22">
        <f t="shared" si="6"/>
        <v>0</v>
      </c>
      <c r="H43" s="157">
        <f t="shared" ref="H43:I43" si="11">SUM(H44:H45)</f>
        <v>0</v>
      </c>
      <c r="I43" s="157">
        <f t="shared" si="11"/>
        <v>0</v>
      </c>
    </row>
    <row r="44" spans="1:9" hidden="1" x14ac:dyDescent="0.3">
      <c r="B44" s="19" t="s">
        <v>81</v>
      </c>
      <c r="C44" s="88"/>
      <c r="D44" s="21"/>
      <c r="E44" s="16">
        <f t="shared" si="5"/>
        <v>0</v>
      </c>
      <c r="F44" s="64"/>
      <c r="G44" s="22">
        <f t="shared" si="6"/>
        <v>0</v>
      </c>
      <c r="H44" s="155"/>
      <c r="I44" s="155"/>
    </row>
    <row r="45" spans="1:9" hidden="1" x14ac:dyDescent="0.3">
      <c r="B45" s="91" t="s">
        <v>70</v>
      </c>
      <c r="C45" s="88"/>
      <c r="D45" s="21"/>
      <c r="E45" s="16">
        <f t="shared" si="5"/>
        <v>0</v>
      </c>
      <c r="F45" s="64"/>
      <c r="G45" s="22">
        <f t="shared" si="6"/>
        <v>0</v>
      </c>
      <c r="H45" s="155"/>
      <c r="I45" s="155"/>
    </row>
    <row r="46" spans="1:9" x14ac:dyDescent="0.3">
      <c r="B46" s="39" t="s">
        <v>71</v>
      </c>
      <c r="C46" s="89">
        <f>SUM(C47:C49)</f>
        <v>3341410.88</v>
      </c>
      <c r="D46" s="65">
        <f>SUM(D47:D49)</f>
        <v>2745894.1524542635</v>
      </c>
      <c r="E46" s="129">
        <f t="shared" si="5"/>
        <v>0.21687533986460017</v>
      </c>
      <c r="F46" s="66">
        <f>SUM(F47:F49)</f>
        <v>3327005.2999999993</v>
      </c>
      <c r="G46" s="130">
        <f t="shared" si="6"/>
        <v>4.3298939139053694E-3</v>
      </c>
      <c r="H46" s="157">
        <f t="shared" ref="H46:I46" si="12">SUM(H47:H49)</f>
        <v>3030128.4999999995</v>
      </c>
      <c r="I46" s="157">
        <f t="shared" si="12"/>
        <v>2523729.8499999996</v>
      </c>
    </row>
    <row r="47" spans="1:9" x14ac:dyDescent="0.3">
      <c r="A47" s="85" t="s">
        <v>72</v>
      </c>
      <c r="B47" s="19" t="str">
        <f>A47</f>
        <v>Locomoções gerais - viagens - estadias</v>
      </c>
      <c r="C47" s="20">
        <v>3035410.88</v>
      </c>
      <c r="D47" s="21">
        <v>2444021.2017863123</v>
      </c>
      <c r="E47" s="16">
        <f t="shared" si="5"/>
        <v>0.24197403761532277</v>
      </c>
      <c r="F47" s="64">
        <v>3022363.9799999995</v>
      </c>
      <c r="G47" s="22">
        <f t="shared" si="6"/>
        <v>4.3167864910831355E-3</v>
      </c>
      <c r="H47" s="118">
        <v>2705065.3599999994</v>
      </c>
      <c r="I47" s="118">
        <v>2169141.7499999995</v>
      </c>
    </row>
    <row r="48" spans="1:9" x14ac:dyDescent="0.3">
      <c r="A48" s="85" t="s">
        <v>73</v>
      </c>
      <c r="B48" s="19" t="str">
        <f>A48</f>
        <v>Outros gastos gerais</v>
      </c>
      <c r="C48" s="20">
        <v>306000</v>
      </c>
      <c r="D48" s="21">
        <v>301365.8206679516</v>
      </c>
      <c r="E48" s="16">
        <f t="shared" si="5"/>
        <v>1.5377255860592021E-2</v>
      </c>
      <c r="F48" s="64">
        <v>304641.31999999995</v>
      </c>
      <c r="G48" s="22">
        <f t="shared" si="6"/>
        <v>4.4599334062760398E-3</v>
      </c>
      <c r="H48" s="118">
        <v>323698.17000000004</v>
      </c>
      <c r="I48" s="118">
        <v>352099.05000000005</v>
      </c>
    </row>
    <row r="49" spans="1:9" x14ac:dyDescent="0.3">
      <c r="A49" s="85" t="s">
        <v>82</v>
      </c>
      <c r="B49" s="56" t="str">
        <f>A49</f>
        <v>Despesas financeiras</v>
      </c>
      <c r="C49" s="20">
        <v>0</v>
      </c>
      <c r="D49" s="67">
        <v>507.13</v>
      </c>
      <c r="E49" s="16">
        <f t="shared" si="5"/>
        <v>-1</v>
      </c>
      <c r="F49" s="90">
        <v>0</v>
      </c>
      <c r="G49" s="22">
        <f t="shared" si="6"/>
        <v>0</v>
      </c>
      <c r="H49" s="118">
        <v>1364.9700000000003</v>
      </c>
      <c r="I49" s="118">
        <v>2489.0499999999997</v>
      </c>
    </row>
    <row r="50" spans="1:9" s="45" customFormat="1" hidden="1" x14ac:dyDescent="0.3">
      <c r="B50" s="72" t="s">
        <v>101</v>
      </c>
      <c r="C50" s="87">
        <f>SUM(C51)</f>
        <v>0</v>
      </c>
      <c r="D50" s="62">
        <f>SUM(D51)</f>
        <v>0</v>
      </c>
      <c r="E50" s="16">
        <f t="shared" si="5"/>
        <v>0</v>
      </c>
      <c r="F50" s="63">
        <f>SUM(F51)</f>
        <v>0</v>
      </c>
      <c r="G50" s="22">
        <f t="shared" si="6"/>
        <v>0</v>
      </c>
      <c r="H50" s="156">
        <f t="shared" ref="H50:I50" si="13">SUM(H51)</f>
        <v>0</v>
      </c>
      <c r="I50" s="156">
        <f t="shared" si="13"/>
        <v>0</v>
      </c>
    </row>
    <row r="51" spans="1:9" hidden="1" x14ac:dyDescent="0.3">
      <c r="B51" s="73" t="s">
        <v>101</v>
      </c>
      <c r="C51" s="88">
        <v>0</v>
      </c>
      <c r="D51" s="21">
        <v>0</v>
      </c>
      <c r="E51" s="16">
        <f t="shared" si="5"/>
        <v>0</v>
      </c>
      <c r="F51" s="64">
        <v>0</v>
      </c>
      <c r="G51" s="22">
        <f t="shared" si="6"/>
        <v>0</v>
      </c>
      <c r="H51" s="155">
        <v>0</v>
      </c>
      <c r="I51" s="155">
        <v>0</v>
      </c>
    </row>
    <row r="52" spans="1:9" x14ac:dyDescent="0.3">
      <c r="B52" s="26" t="s">
        <v>51</v>
      </c>
      <c r="C52" s="51">
        <f>SUM(C50+C46+C43+C41+C37+C33+C28)</f>
        <v>19682859.875839438</v>
      </c>
      <c r="D52" s="28">
        <f>SUM(D50+D46+D43+D41+D37+D33+D28)</f>
        <v>18026238.925247028</v>
      </c>
      <c r="E52" s="121">
        <f t="shared" si="5"/>
        <v>9.19005321887858E-2</v>
      </c>
      <c r="F52" s="28">
        <f>SUM(F50+F46+F43+F41+F37+F33+F28)</f>
        <v>18113296.57</v>
      </c>
      <c r="G52" s="122">
        <f t="shared" si="6"/>
        <v>8.6652548296427323E-2</v>
      </c>
      <c r="H52" s="150">
        <f t="shared" ref="H52:I52" si="14">SUM(H50+H46+H43+H41+H37+H33+H28)</f>
        <v>18394144.530000001</v>
      </c>
      <c r="I52" s="142">
        <f t="shared" si="14"/>
        <v>16372481.019999998</v>
      </c>
    </row>
    <row r="53" spans="1:9" x14ac:dyDescent="0.3">
      <c r="B53" s="32"/>
      <c r="C53" s="93"/>
      <c r="D53" s="93"/>
      <c r="E53" s="93"/>
      <c r="F53" s="93"/>
      <c r="G53" s="93"/>
      <c r="H53" s="93"/>
      <c r="I53" s="93"/>
    </row>
  </sheetData>
  <mergeCells count="3">
    <mergeCell ref="B3:B4"/>
    <mergeCell ref="B9:B10"/>
    <mergeCell ref="B26:B27"/>
  </mergeCells>
  <pageMargins left="0.511811024" right="0.511811024" top="0.78740157499999996" bottom="0.78740157499999996" header="0.31496062000000002" footer="0.31496062000000002"/>
  <ignoredErrors>
    <ignoredError sqref="F33 F37 F41:F46 C41:D46 C37:D37 C33:D33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3"/>
  <sheetViews>
    <sheetView showGridLines="0" showRowColHeaders="0" topLeftCell="B34" workbookViewId="0">
      <selection activeCell="J64" sqref="J64"/>
    </sheetView>
  </sheetViews>
  <sheetFormatPr defaultRowHeight="14.4" x14ac:dyDescent="0.3"/>
  <cols>
    <col min="1" max="1" width="20.1093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148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">
        <v>149</v>
      </c>
      <c r="B5" s="39" t="s">
        <v>149</v>
      </c>
      <c r="C5" s="40">
        <v>12314186</v>
      </c>
      <c r="D5" s="41">
        <v>9782862.6889088396</v>
      </c>
      <c r="E5" s="129">
        <f>IFERROR(C5/D5-1,0)</f>
        <v>0.25875077588086826</v>
      </c>
      <c r="F5" s="42">
        <v>10111318.110000005</v>
      </c>
      <c r="G5" s="133">
        <f>IFERROR(C5/F5-1,0)</f>
        <v>0.21786159490139845</v>
      </c>
      <c r="H5" s="147">
        <v>8847544.6899999902</v>
      </c>
      <c r="I5" s="147">
        <v>7753970.8000000007</v>
      </c>
    </row>
    <row r="6" spans="1:9" x14ac:dyDescent="0.3">
      <c r="B6" s="46" t="s">
        <v>51</v>
      </c>
      <c r="C6" s="51">
        <f>SUM(C5:C5)</f>
        <v>12314186</v>
      </c>
      <c r="D6" s="49">
        <f>SUM(D5:D5)</f>
        <v>9782862.6889088396</v>
      </c>
      <c r="E6" s="121">
        <f t="shared" ref="E6:E31" si="0">IFERROR(C6/D6-1,0)</f>
        <v>0.25875077588086826</v>
      </c>
      <c r="F6" s="49">
        <f>SUM(F5:F5)</f>
        <v>10111318.110000005</v>
      </c>
      <c r="G6" s="122">
        <f t="shared" ref="G6:G31" si="1">IFERROR(C6/F6-1,0)</f>
        <v>0.21786159490139845</v>
      </c>
      <c r="H6" s="150">
        <f t="shared" ref="H6:I6" si="2">SUM(H5:H5)</f>
        <v>8847544.6899999902</v>
      </c>
      <c r="I6" s="142">
        <f t="shared" si="2"/>
        <v>7753970.8000000007</v>
      </c>
    </row>
    <row r="7" spans="1:9" x14ac:dyDescent="0.3">
      <c r="B7" s="38"/>
      <c r="C7" s="50"/>
      <c r="D7" s="50"/>
      <c r="E7" s="50"/>
      <c r="F7" s="50"/>
      <c r="G7" s="50"/>
      <c r="H7" s="50"/>
      <c r="I7" s="50"/>
    </row>
    <row r="8" spans="1:9" x14ac:dyDescent="0.3">
      <c r="B8" s="202" t="s">
        <v>52</v>
      </c>
      <c r="C8" s="8"/>
      <c r="D8" s="8"/>
      <c r="E8" s="36"/>
      <c r="F8" s="36"/>
      <c r="G8" s="36"/>
      <c r="H8" s="8"/>
      <c r="I8" s="8"/>
    </row>
    <row r="9" spans="1:9" ht="43.2" x14ac:dyDescent="0.3">
      <c r="B9" s="203"/>
      <c r="C9" s="10" t="str">
        <f>'23-Despesas '!C$4</f>
        <v>Orçamento 2026</v>
      </c>
      <c r="D9" s="10" t="str">
        <f>'23-Despesas '!D$4</f>
        <v>Projeção 2025</v>
      </c>
      <c r="E9" s="11" t="s">
        <v>6</v>
      </c>
      <c r="F9" s="37" t="str">
        <f>'23-Despesas '!F$4</f>
        <v>Orçamento 2025</v>
      </c>
      <c r="G9" s="12" t="s">
        <v>8</v>
      </c>
      <c r="H9" s="10" t="s">
        <v>382</v>
      </c>
      <c r="I9" s="10" t="s">
        <v>197</v>
      </c>
    </row>
    <row r="10" spans="1:9" x14ac:dyDescent="0.3">
      <c r="A10" s="115" t="s">
        <v>150</v>
      </c>
      <c r="B10" s="19" t="str">
        <f>A10</f>
        <v>Fitness</v>
      </c>
      <c r="C10" s="20">
        <v>4072664.6695504272</v>
      </c>
      <c r="D10" s="43">
        <v>3420031.6087493231</v>
      </c>
      <c r="E10" s="16">
        <f t="shared" si="0"/>
        <v>0.19082661666971168</v>
      </c>
      <c r="F10" s="44">
        <v>3611343.2500000014</v>
      </c>
      <c r="G10" s="22">
        <f>IFERROR(C10/F10-1,0)</f>
        <v>0.12774233508554622</v>
      </c>
      <c r="H10" s="118">
        <v>2895685.0100000012</v>
      </c>
      <c r="I10" s="118">
        <v>2409553.3199999994</v>
      </c>
    </row>
    <row r="11" spans="1:9" x14ac:dyDescent="0.3">
      <c r="A11" s="115" t="s">
        <v>151</v>
      </c>
      <c r="B11" s="19" t="str">
        <f t="shared" ref="B11:B30" si="3">A11</f>
        <v>Administração de Esportes Associativos</v>
      </c>
      <c r="C11" s="20">
        <v>1132579.5635337604</v>
      </c>
      <c r="D11" s="43">
        <v>1005341.0618158856</v>
      </c>
      <c r="E11" s="16">
        <f t="shared" si="0"/>
        <v>0.12656252345651908</v>
      </c>
      <c r="F11" s="44">
        <v>1030767.6600000001</v>
      </c>
      <c r="G11" s="22">
        <f>IFERROR(C11/F11-1,0)</f>
        <v>9.8772892752339692E-2</v>
      </c>
      <c r="H11" s="118">
        <v>908654.66999999969</v>
      </c>
      <c r="I11" s="118">
        <v>754624.66</v>
      </c>
    </row>
    <row r="12" spans="1:9" x14ac:dyDescent="0.3">
      <c r="A12" s="115" t="s">
        <v>152</v>
      </c>
      <c r="B12" s="19" t="str">
        <f t="shared" si="3"/>
        <v>Beach Tennis</v>
      </c>
      <c r="C12" s="20">
        <v>1005110</v>
      </c>
      <c r="D12" s="43">
        <v>795171.82155637001</v>
      </c>
      <c r="E12" s="16">
        <f t="shared" si="0"/>
        <v>0.264016119224048</v>
      </c>
      <c r="F12" s="44">
        <v>863502.72000000009</v>
      </c>
      <c r="G12" s="22">
        <f>IFERROR(C12/F12-1,0)</f>
        <v>0.16399170114947625</v>
      </c>
      <c r="H12" s="118">
        <v>740693.97000000009</v>
      </c>
      <c r="I12" s="118">
        <v>640178.19999999995</v>
      </c>
    </row>
    <row r="13" spans="1:9" x14ac:dyDescent="0.3">
      <c r="A13" s="115" t="s">
        <v>154</v>
      </c>
      <c r="B13" s="19" t="str">
        <f t="shared" si="3"/>
        <v>Ginástica de Academia</v>
      </c>
      <c r="C13" s="20">
        <v>968426.99999999942</v>
      </c>
      <c r="D13" s="43">
        <v>881622.62576579209</v>
      </c>
      <c r="E13" s="16">
        <f t="shared" si="0"/>
        <v>9.8459785056908666E-2</v>
      </c>
      <c r="F13" s="44">
        <v>917250.24000000022</v>
      </c>
      <c r="G13" s="24">
        <f t="shared" si="1"/>
        <v>5.5793673054802539E-2</v>
      </c>
      <c r="H13" s="118">
        <v>790053.79</v>
      </c>
      <c r="I13" s="118">
        <v>981893.9</v>
      </c>
    </row>
    <row r="14" spans="1:9" x14ac:dyDescent="0.3">
      <c r="A14" s="115" t="s">
        <v>153</v>
      </c>
      <c r="B14" s="19" t="str">
        <f t="shared" si="3"/>
        <v>Skate</v>
      </c>
      <c r="C14" s="20">
        <v>872158.60268470191</v>
      </c>
      <c r="D14" s="43">
        <v>812293.99318580178</v>
      </c>
      <c r="E14" s="16">
        <f t="shared" si="0"/>
        <v>7.3698205330944511E-2</v>
      </c>
      <c r="F14" s="44">
        <v>852868.46</v>
      </c>
      <c r="G14" s="24">
        <f t="shared" si="1"/>
        <v>2.2617957621157592E-2</v>
      </c>
      <c r="H14" s="118">
        <v>732006.73999999987</v>
      </c>
      <c r="I14" s="118">
        <v>680795.04</v>
      </c>
    </row>
    <row r="15" spans="1:9" x14ac:dyDescent="0.3">
      <c r="A15" s="115" t="s">
        <v>155</v>
      </c>
      <c r="B15" s="19" t="str">
        <f t="shared" si="3"/>
        <v>Vôlei de Praia</v>
      </c>
      <c r="C15" s="20">
        <v>854708.00000000023</v>
      </c>
      <c r="D15" s="43">
        <v>602355.7771003138</v>
      </c>
      <c r="E15" s="16">
        <f t="shared" si="0"/>
        <v>0.41894214763654669</v>
      </c>
      <c r="F15" s="44">
        <v>521192.56000000006</v>
      </c>
      <c r="G15" s="22">
        <f t="shared" si="1"/>
        <v>0.63990829032555663</v>
      </c>
      <c r="H15" s="118">
        <v>639541.29</v>
      </c>
      <c r="I15" s="118">
        <v>392785.62</v>
      </c>
    </row>
    <row r="16" spans="1:9" x14ac:dyDescent="0.3">
      <c r="A16" s="115" t="s">
        <v>156</v>
      </c>
      <c r="B16" s="19" t="str">
        <f t="shared" si="3"/>
        <v>Boliche 9 Pinos</v>
      </c>
      <c r="C16" s="20">
        <v>666341.75999999978</v>
      </c>
      <c r="D16" s="43">
        <v>466637.69745615753</v>
      </c>
      <c r="E16" s="16">
        <f t="shared" si="0"/>
        <v>0.42796384353967731</v>
      </c>
      <c r="F16" s="44">
        <v>563880.45000000019</v>
      </c>
      <c r="G16" s="24">
        <f t="shared" si="1"/>
        <v>0.18170750555370296</v>
      </c>
      <c r="H16" s="118">
        <v>487464.0500000001</v>
      </c>
      <c r="I16" s="118">
        <v>423911.62999999995</v>
      </c>
    </row>
    <row r="17" spans="1:9" x14ac:dyDescent="0.3">
      <c r="A17" s="115" t="s">
        <v>157</v>
      </c>
      <c r="B17" s="19" t="str">
        <f t="shared" si="3"/>
        <v>Futevôlei</v>
      </c>
      <c r="C17" s="20">
        <v>432852</v>
      </c>
      <c r="D17" s="43">
        <v>274915.62223982619</v>
      </c>
      <c r="E17" s="16">
        <f t="shared" si="0"/>
        <v>0.5744903708032858</v>
      </c>
      <c r="F17" s="44">
        <v>175318.19</v>
      </c>
      <c r="G17" s="22">
        <f t="shared" si="1"/>
        <v>1.4689508829631426</v>
      </c>
      <c r="H17" s="118">
        <v>287558.41999999993</v>
      </c>
      <c r="I17" s="118">
        <v>265918.11</v>
      </c>
    </row>
    <row r="18" spans="1:9" x14ac:dyDescent="0.3">
      <c r="A18" s="115" t="s">
        <v>158</v>
      </c>
      <c r="B18" s="19" t="str">
        <f t="shared" si="3"/>
        <v>Vôlei Máster</v>
      </c>
      <c r="C18" s="20">
        <v>398067</v>
      </c>
      <c r="D18" s="43">
        <v>316165.40270660876</v>
      </c>
      <c r="E18" s="16">
        <f t="shared" si="0"/>
        <v>0.25904667807499893</v>
      </c>
      <c r="F18" s="44">
        <v>374193.27000000008</v>
      </c>
      <c r="G18" s="24">
        <f t="shared" si="1"/>
        <v>6.3800532810223798E-2</v>
      </c>
      <c r="H18" s="118">
        <v>314689.02999999997</v>
      </c>
      <c r="I18" s="118">
        <v>226946.04</v>
      </c>
    </row>
    <row r="19" spans="1:9" x14ac:dyDescent="0.3">
      <c r="A19" s="115" t="s">
        <v>159</v>
      </c>
      <c r="B19" s="19" t="str">
        <f t="shared" si="3"/>
        <v>Bilhar e Snooker</v>
      </c>
      <c r="C19" s="20">
        <v>396388.95878331631</v>
      </c>
      <c r="D19" s="43">
        <v>294551.90116383386</v>
      </c>
      <c r="E19" s="16">
        <f t="shared" si="0"/>
        <v>0.34573552985773892</v>
      </c>
      <c r="F19" s="44">
        <v>304218.27000000019</v>
      </c>
      <c r="G19" s="24">
        <f t="shared" si="1"/>
        <v>0.30297552077761813</v>
      </c>
      <c r="H19" s="118">
        <v>295458.50999999983</v>
      </c>
      <c r="I19" s="118">
        <v>229866.36000000002</v>
      </c>
    </row>
    <row r="20" spans="1:9" x14ac:dyDescent="0.3">
      <c r="A20" s="115" t="s">
        <v>166</v>
      </c>
      <c r="B20" s="19" t="str">
        <f t="shared" si="3"/>
        <v>Pickleball</v>
      </c>
      <c r="C20" s="20">
        <v>316168.2</v>
      </c>
      <c r="D20" s="43">
        <v>29674.767049027363</v>
      </c>
      <c r="E20" s="16">
        <f t="shared" si="0"/>
        <v>9.6544458959910493</v>
      </c>
      <c r="F20" s="44">
        <v>32000</v>
      </c>
      <c r="G20" s="22">
        <f t="shared" si="1"/>
        <v>8.8802562500000004</v>
      </c>
      <c r="H20" s="118">
        <v>16763.36</v>
      </c>
      <c r="I20" s="118">
        <v>0</v>
      </c>
    </row>
    <row r="21" spans="1:9" x14ac:dyDescent="0.3">
      <c r="A21" s="115" t="s">
        <v>161</v>
      </c>
      <c r="B21" s="19" t="str">
        <f t="shared" si="3"/>
        <v>Xadrez</v>
      </c>
      <c r="C21" s="20">
        <v>249678.60000000006</v>
      </c>
      <c r="D21" s="118">
        <v>185309.55824732984</v>
      </c>
      <c r="E21" s="141">
        <f t="shared" si="0"/>
        <v>0.34735953375247841</v>
      </c>
      <c r="F21" s="119">
        <v>184238.60999999993</v>
      </c>
      <c r="G21" s="22">
        <f t="shared" si="1"/>
        <v>0.35519150953212342</v>
      </c>
      <c r="H21" s="118">
        <v>161326.70000000001</v>
      </c>
      <c r="I21" s="118">
        <v>132716.16</v>
      </c>
    </row>
    <row r="22" spans="1:9" x14ac:dyDescent="0.3">
      <c r="A22" s="115" t="s">
        <v>160</v>
      </c>
      <c r="B22" s="19" t="str">
        <f t="shared" si="3"/>
        <v>Bolão</v>
      </c>
      <c r="C22" s="20">
        <v>232500.08</v>
      </c>
      <c r="D22" s="118">
        <v>285205.25401136879</v>
      </c>
      <c r="E22" s="141">
        <f t="shared" si="0"/>
        <v>-0.18479734601687203</v>
      </c>
      <c r="F22" s="119">
        <v>212743.85</v>
      </c>
      <c r="G22" s="22">
        <f t="shared" si="1"/>
        <v>9.2863930026649388E-2</v>
      </c>
      <c r="H22" s="118">
        <v>190750.72000000006</v>
      </c>
      <c r="I22" s="118">
        <v>198937.72999999995</v>
      </c>
    </row>
    <row r="23" spans="1:9" x14ac:dyDescent="0.3">
      <c r="A23" s="115" t="s">
        <v>162</v>
      </c>
      <c r="B23" s="19" t="str">
        <f t="shared" si="3"/>
        <v>Boliche 10 Pinos</v>
      </c>
      <c r="C23" s="20">
        <v>201099.71000000002</v>
      </c>
      <c r="D23" s="118">
        <v>181650.02008598609</v>
      </c>
      <c r="E23" s="141">
        <f t="shared" si="0"/>
        <v>0.10707232459873772</v>
      </c>
      <c r="F23" s="119">
        <v>197208.34000000003</v>
      </c>
      <c r="G23" s="22">
        <f t="shared" si="1"/>
        <v>1.9732279070956205E-2</v>
      </c>
      <c r="H23" s="118">
        <v>158778.59999999998</v>
      </c>
      <c r="I23" s="118">
        <v>141520.94</v>
      </c>
    </row>
    <row r="24" spans="1:9" x14ac:dyDescent="0.3">
      <c r="A24" s="115" t="s">
        <v>163</v>
      </c>
      <c r="B24" s="19" t="str">
        <f t="shared" si="3"/>
        <v>Basquete Máster</v>
      </c>
      <c r="C24" s="20">
        <v>187100</v>
      </c>
      <c r="D24" s="118">
        <v>120627.89783615283</v>
      </c>
      <c r="E24" s="141">
        <f t="shared" si="0"/>
        <v>0.55105082121330917</v>
      </c>
      <c r="F24" s="119">
        <v>115452.67000000003</v>
      </c>
      <c r="G24" s="22">
        <f t="shared" si="1"/>
        <v>0.6205775059164933</v>
      </c>
      <c r="H24" s="118">
        <v>134604.11000000002</v>
      </c>
      <c r="I24" s="118">
        <v>110192.76999999999</v>
      </c>
    </row>
    <row r="25" spans="1:9" x14ac:dyDescent="0.3">
      <c r="A25" s="115" t="s">
        <v>164</v>
      </c>
      <c r="B25" s="23" t="str">
        <f t="shared" si="3"/>
        <v xml:space="preserve">Orientação Individualizada </v>
      </c>
      <c r="C25" s="20">
        <v>142905</v>
      </c>
      <c r="D25" s="118">
        <v>0</v>
      </c>
      <c r="E25" s="141">
        <f t="shared" si="0"/>
        <v>0</v>
      </c>
      <c r="F25" s="119">
        <v>0</v>
      </c>
      <c r="G25" s="22">
        <f t="shared" si="1"/>
        <v>0</v>
      </c>
      <c r="H25" s="118">
        <v>0</v>
      </c>
      <c r="I25" s="118">
        <v>0</v>
      </c>
    </row>
    <row r="26" spans="1:9" x14ac:dyDescent="0.3">
      <c r="A26" s="115" t="s">
        <v>165</v>
      </c>
      <c r="B26" s="19" t="str">
        <f t="shared" si="3"/>
        <v>Bocha</v>
      </c>
      <c r="C26" s="20">
        <v>103696.73999999998</v>
      </c>
      <c r="D26" s="118">
        <v>52430.812672734224</v>
      </c>
      <c r="E26" s="141">
        <f t="shared" si="0"/>
        <v>0.97778242819275896</v>
      </c>
      <c r="F26" s="119">
        <v>78235.45</v>
      </c>
      <c r="G26" s="22">
        <f t="shared" si="1"/>
        <v>0.32544441170850269</v>
      </c>
      <c r="H26" s="118">
        <v>37806.03</v>
      </c>
      <c r="I26" s="118">
        <v>81135.48</v>
      </c>
    </row>
    <row r="27" spans="1:9" x14ac:dyDescent="0.3">
      <c r="A27" s="115" t="s">
        <v>168</v>
      </c>
      <c r="B27" s="19" t="str">
        <f t="shared" si="3"/>
        <v xml:space="preserve">Boxe Funcional </v>
      </c>
      <c r="C27" s="20">
        <v>29354</v>
      </c>
      <c r="D27" s="118">
        <v>40989.212893255535</v>
      </c>
      <c r="E27" s="141">
        <f t="shared" si="0"/>
        <v>-0.28386036403177728</v>
      </c>
      <c r="F27" s="119">
        <v>46525.04</v>
      </c>
      <c r="G27" s="22">
        <f t="shared" si="1"/>
        <v>-0.36907093470526842</v>
      </c>
      <c r="H27" s="118">
        <v>32570.34</v>
      </c>
      <c r="I27" s="118">
        <v>77646.270000000019</v>
      </c>
    </row>
    <row r="28" spans="1:9" x14ac:dyDescent="0.3">
      <c r="A28" s="115" t="s">
        <v>167</v>
      </c>
      <c r="B28" s="19" t="str">
        <f t="shared" si="3"/>
        <v>Muay Thai</v>
      </c>
      <c r="C28" s="20">
        <v>29354</v>
      </c>
      <c r="D28" s="43">
        <v>0</v>
      </c>
      <c r="E28" s="16">
        <f t="shared" si="0"/>
        <v>0</v>
      </c>
      <c r="F28" s="44">
        <v>0</v>
      </c>
      <c r="G28" s="22">
        <f t="shared" si="1"/>
        <v>0</v>
      </c>
      <c r="H28" s="118">
        <v>0</v>
      </c>
      <c r="I28" s="118">
        <v>0</v>
      </c>
    </row>
    <row r="29" spans="1:9" x14ac:dyDescent="0.3">
      <c r="A29" s="115" t="s">
        <v>169</v>
      </c>
      <c r="B29" s="19" t="str">
        <f t="shared" si="3"/>
        <v>Espaço Teens</v>
      </c>
      <c r="C29" s="20">
        <v>0</v>
      </c>
      <c r="D29" s="43">
        <v>9470.2933296683841</v>
      </c>
      <c r="E29" s="16">
        <f t="shared" si="0"/>
        <v>-1</v>
      </c>
      <c r="F29" s="44">
        <v>18500</v>
      </c>
      <c r="G29" s="22">
        <f t="shared" si="1"/>
        <v>-1</v>
      </c>
      <c r="H29" s="118">
        <v>15738.119999999999</v>
      </c>
      <c r="I29" s="118">
        <v>1850</v>
      </c>
    </row>
    <row r="30" spans="1:9" x14ac:dyDescent="0.3">
      <c r="A30" s="115" t="s">
        <v>170</v>
      </c>
      <c r="B30" s="19" t="str">
        <f t="shared" si="3"/>
        <v>Peteca</v>
      </c>
      <c r="C30" s="20">
        <v>23032</v>
      </c>
      <c r="D30" s="43">
        <v>8417.3610433817466</v>
      </c>
      <c r="E30" s="16">
        <f t="shared" si="0"/>
        <v>1.7362495063829053</v>
      </c>
      <c r="F30" s="44">
        <v>11879.08</v>
      </c>
      <c r="G30" s="22">
        <f t="shared" si="1"/>
        <v>0.93887068695555542</v>
      </c>
      <c r="H30" s="118">
        <v>7401.23</v>
      </c>
      <c r="I30" s="118">
        <v>3498.57</v>
      </c>
    </row>
    <row r="31" spans="1:9" x14ac:dyDescent="0.3">
      <c r="A31" s="78"/>
      <c r="B31" s="46" t="s">
        <v>51</v>
      </c>
      <c r="C31" s="51">
        <f>SUM(C10:C30)</f>
        <v>12314185.884552205</v>
      </c>
      <c r="D31" s="28">
        <f>SUM(D10:D30)</f>
        <v>9782862.6889088172</v>
      </c>
      <c r="E31" s="121">
        <f t="shared" si="0"/>
        <v>0.25875076407984743</v>
      </c>
      <c r="F31" s="28">
        <f>SUM(F10:F30)</f>
        <v>10111318.109999999</v>
      </c>
      <c r="G31" s="122">
        <f t="shared" si="1"/>
        <v>0.21786158348371898</v>
      </c>
      <c r="H31" s="150">
        <f t="shared" ref="H31:I31" si="4">SUM(H10:H30)</f>
        <v>8847544.6899999995</v>
      </c>
      <c r="I31" s="142">
        <f t="shared" si="4"/>
        <v>7753970.8000000007</v>
      </c>
    </row>
    <row r="32" spans="1:9" x14ac:dyDescent="0.3">
      <c r="B32" s="38"/>
      <c r="C32" s="50"/>
      <c r="D32" s="50"/>
      <c r="E32" s="50"/>
      <c r="F32" s="50"/>
      <c r="G32" s="50"/>
      <c r="H32" s="50"/>
      <c r="I32" s="50"/>
    </row>
    <row r="33" spans="1:9" x14ac:dyDescent="0.3">
      <c r="B33" s="202" t="s">
        <v>56</v>
      </c>
      <c r="C33" s="8"/>
      <c r="D33" s="8"/>
      <c r="E33" s="36"/>
      <c r="F33" s="36"/>
      <c r="G33" s="36"/>
      <c r="H33" s="8"/>
      <c r="I33" s="8"/>
    </row>
    <row r="34" spans="1:9" ht="43.2" x14ac:dyDescent="0.3">
      <c r="B34" s="203"/>
      <c r="C34" s="10" t="str">
        <f>'23-Despesas '!C$4</f>
        <v>Orçamento 2026</v>
      </c>
      <c r="D34" s="10" t="str">
        <f>'23-Despesas '!D$4</f>
        <v>Projeção 2025</v>
      </c>
      <c r="E34" s="11" t="s">
        <v>6</v>
      </c>
      <c r="F34" s="37" t="str">
        <f>'23-Despesas '!F$4</f>
        <v>Orçamento 2025</v>
      </c>
      <c r="G34" s="12" t="s">
        <v>8</v>
      </c>
      <c r="H34" s="10" t="s">
        <v>382</v>
      </c>
      <c r="I34" s="10" t="s">
        <v>197</v>
      </c>
    </row>
    <row r="35" spans="1:9" x14ac:dyDescent="0.3">
      <c r="B35" s="39" t="s">
        <v>57</v>
      </c>
      <c r="C35" s="53">
        <f>SUM(C36:C39)</f>
        <v>2686273.8045522058</v>
      </c>
      <c r="D35" s="54">
        <f>SUM(D36:D39)</f>
        <v>2340592.2110501528</v>
      </c>
      <c r="E35" s="16">
        <f t="shared" ref="E35:E58" si="5">IFERROR(C35/D35-1,0)</f>
        <v>0.14768979913291091</v>
      </c>
      <c r="F35" s="55">
        <f>SUM(F36:F39)</f>
        <v>2320013.8800000004</v>
      </c>
      <c r="G35" s="22">
        <f t="shared" ref="G35:G58" si="6">IFERROR(C35/F35-1,0)</f>
        <v>0.15786971263818717</v>
      </c>
      <c r="H35" s="151">
        <f t="shared" ref="H35:I35" si="7">SUM(H36:H39)</f>
        <v>2228191.459999999</v>
      </c>
      <c r="I35" s="151">
        <f t="shared" si="7"/>
        <v>1985949.52</v>
      </c>
    </row>
    <row r="36" spans="1:9" x14ac:dyDescent="0.3">
      <c r="A36" s="85" t="s">
        <v>58</v>
      </c>
      <c r="B36" s="19" t="str">
        <f t="shared" ref="B36:B47" si="8">A36</f>
        <v>Salários e provisões</v>
      </c>
      <c r="C36" s="20">
        <v>1666073.9365519593</v>
      </c>
      <c r="D36" s="43">
        <v>1424741.58143393</v>
      </c>
      <c r="E36" s="16">
        <f t="shared" si="5"/>
        <v>0.16938675635138023</v>
      </c>
      <c r="F36" s="44">
        <v>1380177.8800000001</v>
      </c>
      <c r="G36" s="22">
        <f t="shared" si="6"/>
        <v>0.20714435486530114</v>
      </c>
      <c r="H36" s="118">
        <v>1383889.3499999987</v>
      </c>
      <c r="I36" s="118">
        <v>1230366.1599999999</v>
      </c>
    </row>
    <row r="37" spans="1:9" x14ac:dyDescent="0.3">
      <c r="A37" s="85" t="s">
        <v>59</v>
      </c>
      <c r="B37" s="19" t="str">
        <f t="shared" si="8"/>
        <v>Encargos sociais</v>
      </c>
      <c r="C37" s="20">
        <v>591456.24747594493</v>
      </c>
      <c r="D37" s="43">
        <v>497525.80813173705</v>
      </c>
      <c r="E37" s="16">
        <f t="shared" si="5"/>
        <v>0.18879510933699462</v>
      </c>
      <c r="F37" s="44">
        <v>489354.02999999997</v>
      </c>
      <c r="G37" s="22">
        <f t="shared" si="6"/>
        <v>0.20864693292899816</v>
      </c>
      <c r="H37" s="118">
        <v>458307.65000000014</v>
      </c>
      <c r="I37" s="118">
        <v>421830.74000000005</v>
      </c>
    </row>
    <row r="38" spans="1:9" x14ac:dyDescent="0.3">
      <c r="A38" s="85" t="s">
        <v>60</v>
      </c>
      <c r="B38" s="19" t="str">
        <f t="shared" si="8"/>
        <v>Benefícios</v>
      </c>
      <c r="C38" s="20">
        <v>410554.26052430173</v>
      </c>
      <c r="D38" s="43">
        <v>404185.00582820416</v>
      </c>
      <c r="E38" s="16">
        <f t="shared" si="5"/>
        <v>1.5758265656209858E-2</v>
      </c>
      <c r="F38" s="44">
        <v>433158.76999999984</v>
      </c>
      <c r="G38" s="22">
        <f t="shared" si="6"/>
        <v>-5.2185274872070808E-2</v>
      </c>
      <c r="H38" s="118">
        <v>370655.19000000012</v>
      </c>
      <c r="I38" s="118">
        <v>316575.77</v>
      </c>
    </row>
    <row r="39" spans="1:9" x14ac:dyDescent="0.3">
      <c r="A39" s="85" t="s">
        <v>61</v>
      </c>
      <c r="B39" s="19" t="str">
        <f t="shared" si="8"/>
        <v>Outros</v>
      </c>
      <c r="C39" s="20">
        <v>18189.36</v>
      </c>
      <c r="D39" s="43">
        <v>14139.815656281657</v>
      </c>
      <c r="E39" s="16">
        <f t="shared" si="5"/>
        <v>0.28639300837838877</v>
      </c>
      <c r="F39" s="44">
        <v>17323.2</v>
      </c>
      <c r="G39" s="22">
        <f t="shared" si="6"/>
        <v>5.0000000000000044E-2</v>
      </c>
      <c r="H39" s="118">
        <v>15339.269999999999</v>
      </c>
      <c r="I39" s="118">
        <v>17176.850000000002</v>
      </c>
    </row>
    <row r="40" spans="1:9" x14ac:dyDescent="0.3">
      <c r="B40" s="39" t="s">
        <v>62</v>
      </c>
      <c r="C40" s="53">
        <f>SUM(C41:C43)</f>
        <v>7622692.3600000003</v>
      </c>
      <c r="D40" s="54">
        <f>SUM(D41:D43)</f>
        <v>6022163.1421130542</v>
      </c>
      <c r="E40" s="123">
        <f t="shared" si="5"/>
        <v>0.26577314166307242</v>
      </c>
      <c r="F40" s="55">
        <f>SUM(F41:F43)</f>
        <v>6154252.7000000002</v>
      </c>
      <c r="G40" s="125">
        <f t="shared" si="6"/>
        <v>0.2386056815639046</v>
      </c>
      <c r="H40" s="151">
        <f t="shared" ref="H40:I40" si="9">SUM(H41:H43)</f>
        <v>5427742.2300000004</v>
      </c>
      <c r="I40" s="151">
        <f t="shared" si="9"/>
        <v>4672247.7300000004</v>
      </c>
    </row>
    <row r="41" spans="1:9" s="38" customFormat="1" x14ac:dyDescent="0.3">
      <c r="A41" s="85" t="s">
        <v>63</v>
      </c>
      <c r="B41" s="19" t="str">
        <f t="shared" si="8"/>
        <v>Serviços contratados</v>
      </c>
      <c r="C41" s="20">
        <v>7387302</v>
      </c>
      <c r="D41" s="43">
        <v>5782959.0425579986</v>
      </c>
      <c r="E41" s="127">
        <f t="shared" si="5"/>
        <v>0.27742595886211685</v>
      </c>
      <c r="F41" s="44">
        <v>5910314.1500000004</v>
      </c>
      <c r="G41" s="128">
        <f t="shared" si="6"/>
        <v>0.24990005818895433</v>
      </c>
      <c r="H41" s="118">
        <v>5230085.45</v>
      </c>
      <c r="I41" s="118">
        <v>4564779.91</v>
      </c>
    </row>
    <row r="42" spans="1:9" s="38" customFormat="1" x14ac:dyDescent="0.3">
      <c r="A42" s="85" t="s">
        <v>135</v>
      </c>
      <c r="B42" s="19" t="str">
        <f t="shared" si="8"/>
        <v>Despesas com atletas</v>
      </c>
      <c r="C42" s="20">
        <v>168000</v>
      </c>
      <c r="D42" s="43">
        <v>167757.48319258002</v>
      </c>
      <c r="E42" s="127">
        <f t="shared" si="5"/>
        <v>1.4456392812092211E-3</v>
      </c>
      <c r="F42" s="44">
        <v>172265.71</v>
      </c>
      <c r="G42" s="128">
        <f t="shared" si="6"/>
        <v>-2.476238596758451E-2</v>
      </c>
      <c r="H42" s="118">
        <v>136572.58000000002</v>
      </c>
      <c r="I42" s="118">
        <v>47900</v>
      </c>
    </row>
    <row r="43" spans="1:9" x14ac:dyDescent="0.3">
      <c r="A43" s="85" t="s">
        <v>100</v>
      </c>
      <c r="B43" s="19" t="str">
        <f t="shared" si="8"/>
        <v>Encargos sobre serviços contratados</v>
      </c>
      <c r="C43" s="20">
        <v>67390.36</v>
      </c>
      <c r="D43" s="43">
        <v>71446.616362475615</v>
      </c>
      <c r="E43" s="124">
        <f t="shared" si="5"/>
        <v>-5.6773246501929497E-2</v>
      </c>
      <c r="F43" s="44">
        <v>71672.84</v>
      </c>
      <c r="G43" s="126">
        <f t="shared" si="6"/>
        <v>-5.9750388013088296E-2</v>
      </c>
      <c r="H43" s="118">
        <v>61084.19999999999</v>
      </c>
      <c r="I43" s="118">
        <v>59567.819999999992</v>
      </c>
    </row>
    <row r="44" spans="1:9" x14ac:dyDescent="0.3">
      <c r="B44" s="39" t="s">
        <v>64</v>
      </c>
      <c r="C44" s="53">
        <f>SUM(C45:C47)</f>
        <v>1434584</v>
      </c>
      <c r="D44" s="54">
        <f>SUM(D45:D47)</f>
        <v>916992.64953453676</v>
      </c>
      <c r="E44" s="123">
        <f t="shared" si="5"/>
        <v>0.56444438320000856</v>
      </c>
      <c r="F44" s="55">
        <f>SUM(F45:F47)</f>
        <v>1147794.9900000002</v>
      </c>
      <c r="G44" s="125">
        <f t="shared" si="6"/>
        <v>0.24986083098341427</v>
      </c>
      <c r="H44" s="151">
        <f t="shared" ref="H44:I44" si="10">SUM(H45:H47)</f>
        <v>834248.81</v>
      </c>
      <c r="I44" s="151">
        <f t="shared" si="10"/>
        <v>844612.79000000015</v>
      </c>
    </row>
    <row r="45" spans="1:9" x14ac:dyDescent="0.3">
      <c r="A45" s="85" t="s">
        <v>67</v>
      </c>
      <c r="B45" s="19" t="str">
        <f t="shared" si="8"/>
        <v>Mercadoria de uso geral</v>
      </c>
      <c r="C45" s="20">
        <v>715236</v>
      </c>
      <c r="D45" s="43">
        <v>446467.22326058033</v>
      </c>
      <c r="E45" s="127">
        <f t="shared" si="5"/>
        <v>0.60198993954490798</v>
      </c>
      <c r="F45" s="44">
        <v>535099.95000000019</v>
      </c>
      <c r="G45" s="128">
        <f t="shared" si="6"/>
        <v>0.33664000529246874</v>
      </c>
      <c r="H45" s="118">
        <v>351008.19000000006</v>
      </c>
      <c r="I45" s="118">
        <v>364694.61</v>
      </c>
    </row>
    <row r="46" spans="1:9" x14ac:dyDescent="0.3">
      <c r="A46" s="85" t="s">
        <v>66</v>
      </c>
      <c r="B46" s="19" t="str">
        <f t="shared" si="8"/>
        <v>Mercadoria de revenda e consumo</v>
      </c>
      <c r="C46" s="20">
        <v>473515</v>
      </c>
      <c r="D46" s="43">
        <v>311830.89143791667</v>
      </c>
      <c r="E46" s="127">
        <f t="shared" si="5"/>
        <v>0.518499330892217</v>
      </c>
      <c r="F46" s="44">
        <v>372940.10000000003</v>
      </c>
      <c r="G46" s="128">
        <f t="shared" si="6"/>
        <v>0.2696811096473668</v>
      </c>
      <c r="H46" s="118">
        <v>323721.66000000003</v>
      </c>
      <c r="I46" s="118">
        <v>314501.07000000012</v>
      </c>
    </row>
    <row r="47" spans="1:9" x14ac:dyDescent="0.3">
      <c r="A47" s="85" t="s">
        <v>65</v>
      </c>
      <c r="B47" s="56" t="str">
        <f t="shared" si="8"/>
        <v>Material de consumo geral</v>
      </c>
      <c r="C47" s="20">
        <v>245833</v>
      </c>
      <c r="D47" s="43">
        <v>158694.53483603979</v>
      </c>
      <c r="E47" s="124">
        <f t="shared" si="5"/>
        <v>0.54909556434309503</v>
      </c>
      <c r="F47" s="44">
        <v>239754.94</v>
      </c>
      <c r="G47" s="126">
        <f t="shared" si="6"/>
        <v>2.5351135622064813E-2</v>
      </c>
      <c r="H47" s="118">
        <v>159518.96000000002</v>
      </c>
      <c r="I47" s="118">
        <v>165417.10999999999</v>
      </c>
    </row>
    <row r="48" spans="1:9" s="45" customFormat="1" hidden="1" x14ac:dyDescent="0.3">
      <c r="B48" s="61" t="s">
        <v>68</v>
      </c>
      <c r="C48" s="53">
        <f>SUM(C49)</f>
        <v>0</v>
      </c>
      <c r="D48" s="65">
        <f>SUM(D49)</f>
        <v>0</v>
      </c>
      <c r="E48" s="16">
        <f t="shared" si="5"/>
        <v>0</v>
      </c>
      <c r="F48" s="66">
        <f>SUM(F49)</f>
        <v>0</v>
      </c>
      <c r="G48" s="22">
        <f t="shared" si="6"/>
        <v>0</v>
      </c>
      <c r="H48" s="151">
        <f t="shared" ref="H48:I48" si="11">SUM(H49)</f>
        <v>0</v>
      </c>
      <c r="I48" s="151">
        <f t="shared" si="11"/>
        <v>0</v>
      </c>
    </row>
    <row r="49" spans="1:9" hidden="1" x14ac:dyDescent="0.3">
      <c r="B49" s="19" t="s">
        <v>68</v>
      </c>
      <c r="C49" s="20"/>
      <c r="D49" s="43"/>
      <c r="E49" s="16">
        <f t="shared" si="5"/>
        <v>0</v>
      </c>
      <c r="F49" s="44">
        <v>0</v>
      </c>
      <c r="G49" s="22">
        <f t="shared" si="6"/>
        <v>0</v>
      </c>
      <c r="H49" s="118"/>
      <c r="I49" s="118"/>
    </row>
    <row r="50" spans="1:9" hidden="1" x14ac:dyDescent="0.3">
      <c r="B50" s="39" t="s">
        <v>69</v>
      </c>
      <c r="C50" s="53">
        <f>SUM(C51)</f>
        <v>0</v>
      </c>
      <c r="D50" s="54">
        <f>SUM(D51)</f>
        <v>0</v>
      </c>
      <c r="E50" s="16">
        <f t="shared" si="5"/>
        <v>0</v>
      </c>
      <c r="F50" s="55">
        <f>SUM(F51)</f>
        <v>0</v>
      </c>
      <c r="G50" s="22">
        <f t="shared" si="6"/>
        <v>0</v>
      </c>
      <c r="H50" s="151">
        <f t="shared" ref="H50:I50" si="12">SUM(H51)</f>
        <v>0</v>
      </c>
      <c r="I50" s="151">
        <f t="shared" si="12"/>
        <v>0</v>
      </c>
    </row>
    <row r="51" spans="1:9" hidden="1" x14ac:dyDescent="0.3">
      <c r="B51" s="56" t="s">
        <v>70</v>
      </c>
      <c r="C51" s="57">
        <v>0</v>
      </c>
      <c r="D51" s="58"/>
      <c r="E51" s="16">
        <f t="shared" si="5"/>
        <v>0</v>
      </c>
      <c r="F51" s="59">
        <v>0</v>
      </c>
      <c r="G51" s="22">
        <f t="shared" si="6"/>
        <v>0</v>
      </c>
      <c r="H51" s="152">
        <v>0</v>
      </c>
      <c r="I51" s="152">
        <v>0</v>
      </c>
    </row>
    <row r="52" spans="1:9" x14ac:dyDescent="0.3">
      <c r="B52" s="61" t="s">
        <v>71</v>
      </c>
      <c r="C52" s="53">
        <f>SUM(C53:C55)</f>
        <v>565720.44999999995</v>
      </c>
      <c r="D52" s="54">
        <f>SUM(D53:D55)</f>
        <v>503114.68621107098</v>
      </c>
      <c r="E52" s="123">
        <f t="shared" si="5"/>
        <v>0.12443636710430694</v>
      </c>
      <c r="F52" s="55">
        <f>SUM(F53:F55)</f>
        <v>489256.54000000004</v>
      </c>
      <c r="G52" s="125">
        <f t="shared" si="6"/>
        <v>0.15628592312736367</v>
      </c>
      <c r="H52" s="151">
        <f t="shared" ref="H52:I52" si="13">SUM(H53:H55)</f>
        <v>357362.19</v>
      </c>
      <c r="I52" s="151">
        <f t="shared" si="13"/>
        <v>251160.76</v>
      </c>
    </row>
    <row r="53" spans="1:9" x14ac:dyDescent="0.3">
      <c r="A53" s="85" t="s">
        <v>72</v>
      </c>
      <c r="B53" s="19" t="str">
        <f>A53</f>
        <v>Locomoções gerais - viagens - estadias</v>
      </c>
      <c r="C53" s="20">
        <v>428551.45</v>
      </c>
      <c r="D53" s="43">
        <v>321086.86395598087</v>
      </c>
      <c r="E53" s="127">
        <f t="shared" si="5"/>
        <v>0.33469007333402434</v>
      </c>
      <c r="F53" s="44">
        <v>364609.32</v>
      </c>
      <c r="G53" s="128">
        <f t="shared" si="6"/>
        <v>0.17537162791121186</v>
      </c>
      <c r="H53" s="118">
        <v>258543.02000000002</v>
      </c>
      <c r="I53" s="118">
        <v>156549.97</v>
      </c>
    </row>
    <row r="54" spans="1:9" x14ac:dyDescent="0.3">
      <c r="A54" s="85" t="s">
        <v>73</v>
      </c>
      <c r="B54" s="19" t="str">
        <f>A54</f>
        <v>Outros gastos gerais</v>
      </c>
      <c r="C54" s="20">
        <v>137169</v>
      </c>
      <c r="D54" s="43">
        <v>181576.1822550901</v>
      </c>
      <c r="E54" s="127">
        <f t="shared" si="5"/>
        <v>-0.2445650178540707</v>
      </c>
      <c r="F54" s="44">
        <v>124318.96</v>
      </c>
      <c r="G54" s="128">
        <f t="shared" si="6"/>
        <v>0.10336347730064666</v>
      </c>
      <c r="H54" s="118">
        <v>98024.6</v>
      </c>
      <c r="I54" s="118">
        <v>93088.81</v>
      </c>
    </row>
    <row r="55" spans="1:9" x14ac:dyDescent="0.3">
      <c r="A55" s="85" t="s">
        <v>82</v>
      </c>
      <c r="B55" s="19" t="str">
        <f>A55</f>
        <v>Despesas financeiras</v>
      </c>
      <c r="C55" s="20">
        <v>0</v>
      </c>
      <c r="D55" s="43">
        <v>451.64000000000004</v>
      </c>
      <c r="E55" s="124">
        <f t="shared" si="5"/>
        <v>-1</v>
      </c>
      <c r="F55" s="44">
        <v>328.26</v>
      </c>
      <c r="G55" s="126">
        <f t="shared" si="6"/>
        <v>-1</v>
      </c>
      <c r="H55" s="118">
        <v>794.56999999999994</v>
      </c>
      <c r="I55" s="118">
        <v>1521.98</v>
      </c>
    </row>
    <row r="56" spans="1:9" x14ac:dyDescent="0.3">
      <c r="B56" s="39" t="s">
        <v>83</v>
      </c>
      <c r="C56" s="53">
        <f>SUM(C57)</f>
        <v>4915</v>
      </c>
      <c r="D56" s="54">
        <f>SUM(D57)</f>
        <v>0</v>
      </c>
      <c r="E56" s="16">
        <f t="shared" si="5"/>
        <v>0</v>
      </c>
      <c r="F56" s="55">
        <f>SUM(F57)</f>
        <v>0</v>
      </c>
      <c r="G56" s="22">
        <f t="shared" si="6"/>
        <v>0</v>
      </c>
      <c r="H56" s="151">
        <f t="shared" ref="H56:I56" si="14">SUM(H57)</f>
        <v>0</v>
      </c>
      <c r="I56" s="151">
        <f t="shared" si="14"/>
        <v>0</v>
      </c>
    </row>
    <row r="57" spans="1:9" x14ac:dyDescent="0.3">
      <c r="A57" s="85" t="s">
        <v>83</v>
      </c>
      <c r="B57" s="19" t="str">
        <f>A57</f>
        <v>Tributários fiscais e taxas</v>
      </c>
      <c r="C57" s="20">
        <v>4915</v>
      </c>
      <c r="D57" s="95">
        <v>0</v>
      </c>
      <c r="E57" s="16">
        <f t="shared" si="5"/>
        <v>0</v>
      </c>
      <c r="F57" s="44">
        <v>0</v>
      </c>
      <c r="G57" s="22">
        <f t="shared" si="6"/>
        <v>0</v>
      </c>
      <c r="H57" s="118">
        <v>0</v>
      </c>
      <c r="I57" s="118">
        <v>0</v>
      </c>
    </row>
    <row r="58" spans="1:9" x14ac:dyDescent="0.3">
      <c r="B58" s="26" t="s">
        <v>51</v>
      </c>
      <c r="C58" s="51">
        <f>SUM(C52+C48+C44+C40+C35+C50+C56)</f>
        <v>12314185.614552207</v>
      </c>
      <c r="D58" s="49">
        <f>SUM(D52+D48+D44+D40+D35+D50+D56)</f>
        <v>9782862.6889088154</v>
      </c>
      <c r="E58" s="121">
        <f t="shared" si="5"/>
        <v>0.25875073648056457</v>
      </c>
      <c r="F58" s="49">
        <f>SUM(F52+F48+F44+F40+F35+F50+F56)</f>
        <v>10111318.110000001</v>
      </c>
      <c r="G58" s="122">
        <f t="shared" si="6"/>
        <v>0.21786155678096897</v>
      </c>
      <c r="H58" s="150">
        <f t="shared" ref="H58:I58" si="15">SUM(H52+H48+H44+H40+H35+H50+H56)</f>
        <v>8847544.6899999995</v>
      </c>
      <c r="I58" s="142">
        <f t="shared" si="15"/>
        <v>7753970.8000000007</v>
      </c>
    </row>
    <row r="63" spans="1:9" x14ac:dyDescent="0.3">
      <c r="F63" s="97"/>
      <c r="G63" s="97"/>
      <c r="H63" s="97"/>
      <c r="I63" s="97"/>
    </row>
  </sheetData>
  <mergeCells count="3">
    <mergeCell ref="B3:B4"/>
    <mergeCell ref="B8:B9"/>
    <mergeCell ref="B33:B34"/>
  </mergeCells>
  <pageMargins left="0.511811024" right="0.511811024" top="0.78740157499999996" bottom="0.78740157499999996" header="0.31496062000000002" footer="0.31496062000000002"/>
  <ignoredErrors>
    <ignoredError sqref="F40 F44 F48:F52 F56 C56:D56 C48:D52 C44:D44 C40:D40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2"/>
  <sheetViews>
    <sheetView showGridLines="0" showRowColHeaders="0" topLeftCell="B19" workbookViewId="0">
      <selection activeCell="B37" sqref="B37"/>
    </sheetView>
  </sheetViews>
  <sheetFormatPr defaultRowHeight="14.4" x14ac:dyDescent="0.3"/>
  <cols>
    <col min="1" max="1" width="12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393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85" t="s">
        <v>171</v>
      </c>
      <c r="B5" s="39" t="s">
        <v>171</v>
      </c>
      <c r="C5" s="87">
        <v>5800617</v>
      </c>
      <c r="D5" s="62">
        <v>5502694.4396709865</v>
      </c>
      <c r="E5" s="129">
        <f>IFERROR(C5/D5-1,0)</f>
        <v>5.4141214562302142E-2</v>
      </c>
      <c r="F5" s="42">
        <v>5852419.9799999986</v>
      </c>
      <c r="G5" s="133">
        <f>IFERROR(C5/F5-1,0)</f>
        <v>-8.8515486204048255E-3</v>
      </c>
      <c r="H5" s="156">
        <v>4772815.759999997</v>
      </c>
      <c r="I5" s="156">
        <v>5031825.97</v>
      </c>
    </row>
    <row r="6" spans="1:9" s="45" customFormat="1" x14ac:dyDescent="0.3">
      <c r="A6" s="85" t="s">
        <v>172</v>
      </c>
      <c r="B6" s="19" t="s">
        <v>172</v>
      </c>
      <c r="C6" s="88">
        <v>16247945.13503764</v>
      </c>
      <c r="D6" s="21">
        <v>17200766.447290443</v>
      </c>
      <c r="E6" s="16">
        <f t="shared" ref="E6:E41" si="0">IFERROR(C6/D6-1,0)</f>
        <v>-5.5394119510465023E-2</v>
      </c>
      <c r="F6" s="44">
        <v>14821721.95999999</v>
      </c>
      <c r="G6" s="22">
        <f t="shared" ref="G6:G21" si="1">IFERROR(C6/F6-1,0)</f>
        <v>9.6225201018252715E-2</v>
      </c>
      <c r="H6" s="155">
        <v>16689806.889999989</v>
      </c>
      <c r="I6" s="155">
        <v>16718527.789999999</v>
      </c>
    </row>
    <row r="7" spans="1:9" x14ac:dyDescent="0.3">
      <c r="B7" s="46" t="s">
        <v>51</v>
      </c>
      <c r="C7" s="51">
        <f>SUM(C5:C6)</f>
        <v>22048562.135037638</v>
      </c>
      <c r="D7" s="28">
        <f>SUM(D5:D6)</f>
        <v>22703460.88696143</v>
      </c>
      <c r="E7" s="121">
        <f t="shared" si="0"/>
        <v>-2.8845767400154432E-2</v>
      </c>
      <c r="F7" s="49">
        <f>SUM(F5:F6)</f>
        <v>20674141.93999999</v>
      </c>
      <c r="G7" s="122">
        <f t="shared" si="1"/>
        <v>6.6480156662678258E-2</v>
      </c>
      <c r="H7" s="150">
        <f t="shared" ref="H7:I7" si="2">SUM(H5:H6)</f>
        <v>21462622.649999987</v>
      </c>
      <c r="I7" s="142">
        <f t="shared" si="2"/>
        <v>21750353.759999998</v>
      </c>
    </row>
    <row r="8" spans="1:9" x14ac:dyDescent="0.3">
      <c r="B8" s="38"/>
      <c r="C8" s="50"/>
      <c r="D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 s="78" t="s">
        <v>171</v>
      </c>
      <c r="B11" s="19" t="s">
        <v>171</v>
      </c>
      <c r="C11" s="20">
        <v>2695997.6213205438</v>
      </c>
      <c r="D11" s="118">
        <v>2783946.0873826882</v>
      </c>
      <c r="E11" s="141">
        <f t="shared" si="0"/>
        <v>-3.1591296419403281E-2</v>
      </c>
      <c r="F11" s="119">
        <v>2779550.4900000016</v>
      </c>
      <c r="G11" s="22">
        <f>IFERROR(C11/F11-1,0)</f>
        <v>-3.0059849238233349E-2</v>
      </c>
      <c r="H11" s="118">
        <v>2332827.3200000003</v>
      </c>
      <c r="I11" s="118">
        <v>2283419.5999999992</v>
      </c>
    </row>
    <row r="12" spans="1:9" x14ac:dyDescent="0.3">
      <c r="A12" s="78" t="s">
        <v>173</v>
      </c>
      <c r="B12" s="19" t="s">
        <v>173</v>
      </c>
      <c r="C12" s="20">
        <v>2599254.7216834226</v>
      </c>
      <c r="D12" s="118">
        <v>2076702.0680345485</v>
      </c>
      <c r="E12" s="141">
        <f t="shared" si="0"/>
        <v>0.25162620179958362</v>
      </c>
      <c r="F12" s="119">
        <v>2539523.09</v>
      </c>
      <c r="G12" s="22">
        <f>IFERROR(C12/F12-1,0)</f>
        <v>2.3520806689504292E-2</v>
      </c>
      <c r="H12" s="118">
        <v>1923603.8200000005</v>
      </c>
      <c r="I12" s="118">
        <v>1838768.5499999998</v>
      </c>
    </row>
    <row r="13" spans="1:9" x14ac:dyDescent="0.3">
      <c r="A13" s="78" t="s">
        <v>174</v>
      </c>
      <c r="B13" s="19" t="s">
        <v>174</v>
      </c>
      <c r="C13" s="20">
        <v>499364.51536893006</v>
      </c>
      <c r="D13" s="118">
        <v>638705.30531685951</v>
      </c>
      <c r="E13" s="141">
        <f t="shared" si="0"/>
        <v>-0.21816131600598332</v>
      </c>
      <c r="F13" s="119">
        <v>530146.40000000014</v>
      </c>
      <c r="G13" s="24">
        <f t="shared" si="1"/>
        <v>-5.8062989074470828E-2</v>
      </c>
      <c r="H13" s="118">
        <v>514311.24000000005</v>
      </c>
      <c r="I13" s="118">
        <v>906864.36</v>
      </c>
    </row>
    <row r="14" spans="1:9" x14ac:dyDescent="0.3">
      <c r="A14" s="78" t="s">
        <v>175</v>
      </c>
      <c r="B14" s="19" t="s">
        <v>175</v>
      </c>
      <c r="C14" s="20">
        <v>6000</v>
      </c>
      <c r="D14" s="118">
        <v>3340.9789368857919</v>
      </c>
      <c r="E14" s="141">
        <f t="shared" si="0"/>
        <v>0.79588082216188605</v>
      </c>
      <c r="F14" s="119">
        <v>3200</v>
      </c>
      <c r="G14" s="24">
        <f t="shared" si="1"/>
        <v>0.875</v>
      </c>
      <c r="H14" s="118">
        <v>2073.38</v>
      </c>
      <c r="I14" s="118">
        <v>2773.46</v>
      </c>
    </row>
    <row r="15" spans="1:9" x14ac:dyDescent="0.3">
      <c r="B15" s="46" t="s">
        <v>51</v>
      </c>
      <c r="C15" s="51">
        <f>SUM(C11:C14)</f>
        <v>5800616.858372896</v>
      </c>
      <c r="D15" s="143">
        <f>SUM(D11:D14)</f>
        <v>5502694.4396709818</v>
      </c>
      <c r="E15" s="145">
        <f t="shared" si="0"/>
        <v>5.414118882452934E-2</v>
      </c>
      <c r="F15" s="144">
        <f>SUM(F11:F14)</f>
        <v>5852419.9800000023</v>
      </c>
      <c r="G15" s="122">
        <f t="shared" si="1"/>
        <v>-8.8515728201560284E-3</v>
      </c>
      <c r="H15" s="150">
        <f t="shared" ref="H15:I15" si="3">SUM(H11:H14)</f>
        <v>4772815.7600000007</v>
      </c>
      <c r="I15" s="142">
        <f t="shared" si="3"/>
        <v>5031825.9699999988</v>
      </c>
    </row>
    <row r="16" spans="1:9" x14ac:dyDescent="0.3">
      <c r="B16" s="38"/>
      <c r="C16" s="50"/>
      <c r="D16" s="50"/>
      <c r="H16" s="50"/>
      <c r="I16" s="50"/>
    </row>
    <row r="17" spans="1:9" x14ac:dyDescent="0.3">
      <c r="B17" s="202" t="s">
        <v>56</v>
      </c>
      <c r="C17" s="8"/>
      <c r="D17" s="8"/>
      <c r="E17" s="36"/>
      <c r="F17" s="36"/>
      <c r="G17" s="36"/>
      <c r="H17" s="8"/>
      <c r="I17" s="8"/>
    </row>
    <row r="18" spans="1:9" ht="43.2" x14ac:dyDescent="0.3">
      <c r="B18" s="203"/>
      <c r="C18" s="10" t="str">
        <f>'23-Despesas '!C$4</f>
        <v>Orçamento 2026</v>
      </c>
      <c r="D18" s="10" t="str">
        <f>'23-Despesas '!D$4</f>
        <v>Projeção 2025</v>
      </c>
      <c r="E18" s="11" t="s">
        <v>6</v>
      </c>
      <c r="F18" s="37" t="str">
        <f>'23-Despesas '!F$4</f>
        <v>Orçamento 2025</v>
      </c>
      <c r="G18" s="12" t="s">
        <v>8</v>
      </c>
      <c r="H18" s="10" t="s">
        <v>382</v>
      </c>
      <c r="I18" s="10" t="s">
        <v>197</v>
      </c>
    </row>
    <row r="19" spans="1:9" x14ac:dyDescent="0.3">
      <c r="B19" s="39" t="s">
        <v>57</v>
      </c>
      <c r="C19" s="53">
        <f>SUM(C20:C23)</f>
        <v>4569065.3583728923</v>
      </c>
      <c r="D19" s="65">
        <f>SUM(D20:D23)</f>
        <v>4417449.9790266175</v>
      </c>
      <c r="E19" s="129">
        <f t="shared" si="0"/>
        <v>3.4321923296499524E-2</v>
      </c>
      <c r="F19" s="55">
        <f>SUM(F20:F23)</f>
        <v>4917519.9800000014</v>
      </c>
      <c r="G19" s="138">
        <f t="shared" si="1"/>
        <v>-7.0859828337110131E-2</v>
      </c>
      <c r="H19" s="151">
        <f t="shared" ref="H19:I19" si="4">SUM(H20:H23)</f>
        <v>4020709.83</v>
      </c>
      <c r="I19" s="151">
        <f t="shared" si="4"/>
        <v>3764517.1299999994</v>
      </c>
    </row>
    <row r="20" spans="1:9" x14ac:dyDescent="0.3">
      <c r="A20" s="85" t="s">
        <v>58</v>
      </c>
      <c r="B20" s="19" t="str">
        <f>A20</f>
        <v>Salários e provisões</v>
      </c>
      <c r="C20" s="20">
        <v>2857901.0396970944</v>
      </c>
      <c r="D20" s="21">
        <v>2767454.1595363533</v>
      </c>
      <c r="E20" s="16">
        <f t="shared" si="0"/>
        <v>3.2682340861571513E-2</v>
      </c>
      <c r="F20" s="44">
        <v>3067625.1600000006</v>
      </c>
      <c r="G20" s="22">
        <f t="shared" si="1"/>
        <v>-6.8366931865595393E-2</v>
      </c>
      <c r="H20" s="118">
        <v>2500120.63</v>
      </c>
      <c r="I20" s="118">
        <v>2416782.6999999993</v>
      </c>
    </row>
    <row r="21" spans="1:9" x14ac:dyDescent="0.3">
      <c r="A21" s="85" t="s">
        <v>59</v>
      </c>
      <c r="B21" s="19" t="str">
        <f>A21</f>
        <v>Encargos sociais</v>
      </c>
      <c r="C21" s="20">
        <v>1014554.8690924697</v>
      </c>
      <c r="D21" s="21">
        <v>1068900.4568245481</v>
      </c>
      <c r="E21" s="16">
        <f t="shared" si="0"/>
        <v>-5.0842515208129213E-2</v>
      </c>
      <c r="F21" s="44">
        <v>1241645.3000000003</v>
      </c>
      <c r="G21" s="22">
        <f t="shared" si="1"/>
        <v>-0.18289476947042005</v>
      </c>
      <c r="H21" s="118">
        <v>1016980.0700000001</v>
      </c>
      <c r="I21" s="118">
        <v>842526.78000000014</v>
      </c>
    </row>
    <row r="22" spans="1:9" x14ac:dyDescent="0.3">
      <c r="A22" s="85" t="s">
        <v>60</v>
      </c>
      <c r="B22" s="19" t="str">
        <f>A22</f>
        <v>Benefícios</v>
      </c>
      <c r="C22" s="20">
        <v>605662.64958332886</v>
      </c>
      <c r="D22" s="21">
        <v>513781.3243843083</v>
      </c>
      <c r="E22" s="16">
        <f t="shared" si="0"/>
        <v>0.17883352476683911</v>
      </c>
      <c r="F22" s="44">
        <v>521633.52000000008</v>
      </c>
      <c r="G22" s="22">
        <f>IFERROR(C22/F22-1,0)</f>
        <v>0.16108843922324767</v>
      </c>
      <c r="H22" s="118">
        <v>477957.6599999998</v>
      </c>
      <c r="I22" s="118">
        <v>462577.29</v>
      </c>
    </row>
    <row r="23" spans="1:9" x14ac:dyDescent="0.3">
      <c r="A23" s="85" t="s">
        <v>61</v>
      </c>
      <c r="B23" s="19" t="str">
        <f>A23</f>
        <v>Outros</v>
      </c>
      <c r="C23" s="20">
        <v>90946.799999999988</v>
      </c>
      <c r="D23" s="21">
        <v>67314.038281408284</v>
      </c>
      <c r="E23" s="16">
        <f t="shared" si="0"/>
        <v>0.35108221586401123</v>
      </c>
      <c r="F23" s="44">
        <v>86616</v>
      </c>
      <c r="G23" s="22">
        <f t="shared" ref="G23:G41" si="5">IFERROR(C23/F23-1,0)</f>
        <v>4.9999999999999822E-2</v>
      </c>
      <c r="H23" s="118">
        <v>25651.47</v>
      </c>
      <c r="I23" s="118">
        <v>42630.36</v>
      </c>
    </row>
    <row r="24" spans="1:9" x14ac:dyDescent="0.3">
      <c r="B24" s="39" t="s">
        <v>62</v>
      </c>
      <c r="C24" s="53">
        <f>SUM(C25:C26)</f>
        <v>934551</v>
      </c>
      <c r="D24" s="65">
        <f>SUM(D25:D26)</f>
        <v>314119.98297230393</v>
      </c>
      <c r="E24" s="131">
        <f t="shared" si="0"/>
        <v>1.9751402351323817</v>
      </c>
      <c r="F24" s="55">
        <f>SUM(F25:F26)</f>
        <v>275400</v>
      </c>
      <c r="G24" s="132">
        <f t="shared" si="5"/>
        <v>2.3934313725490197</v>
      </c>
      <c r="H24" s="151">
        <f t="shared" ref="H24:I24" si="6">SUM(H25:H26)</f>
        <v>205336.28</v>
      </c>
      <c r="I24" s="151">
        <f t="shared" si="6"/>
        <v>329207.14</v>
      </c>
    </row>
    <row r="25" spans="1:9" s="38" customFormat="1" x14ac:dyDescent="0.3">
      <c r="A25" s="85" t="s">
        <v>63</v>
      </c>
      <c r="B25" s="19" t="str">
        <f>A25</f>
        <v>Serviços contratados</v>
      </c>
      <c r="C25" s="20">
        <v>934551</v>
      </c>
      <c r="D25" s="21">
        <v>238944.61415860109</v>
      </c>
      <c r="E25" s="127">
        <f t="shared" si="0"/>
        <v>2.9111616024108646</v>
      </c>
      <c r="F25" s="44">
        <v>213420</v>
      </c>
      <c r="G25" s="128">
        <f t="shared" si="5"/>
        <v>3.3789288726454876</v>
      </c>
      <c r="H25" s="118">
        <v>150096.60999999999</v>
      </c>
      <c r="I25" s="118">
        <v>261113.17</v>
      </c>
    </row>
    <row r="26" spans="1:9" x14ac:dyDescent="0.3">
      <c r="A26" s="85" t="s">
        <v>135</v>
      </c>
      <c r="B26" s="19" t="str">
        <f>A26</f>
        <v>Despesas com atletas</v>
      </c>
      <c r="C26" s="20">
        <v>0</v>
      </c>
      <c r="D26" s="21">
        <v>75175.368813702837</v>
      </c>
      <c r="E26" s="124">
        <f t="shared" si="0"/>
        <v>-1</v>
      </c>
      <c r="F26" s="44">
        <v>61980</v>
      </c>
      <c r="G26" s="126">
        <f t="shared" si="5"/>
        <v>-1</v>
      </c>
      <c r="H26" s="118">
        <v>55239.670000000006</v>
      </c>
      <c r="I26" s="118">
        <v>68093.97</v>
      </c>
    </row>
    <row r="27" spans="1:9" x14ac:dyDescent="0.3">
      <c r="A27" s="85"/>
      <c r="B27" s="39" t="s">
        <v>64</v>
      </c>
      <c r="C27" s="53">
        <f>SUM(C28:C30)</f>
        <v>219000</v>
      </c>
      <c r="D27" s="65">
        <f>SUM(D28:D30)</f>
        <v>500511.05828928715</v>
      </c>
      <c r="E27" s="131">
        <f t="shared" si="0"/>
        <v>-0.56244722994027918</v>
      </c>
      <c r="F27" s="55">
        <f>SUM(F28:F30)</f>
        <v>488100</v>
      </c>
      <c r="G27" s="130">
        <f t="shared" si="5"/>
        <v>-0.55132145052243398</v>
      </c>
      <c r="H27" s="151">
        <f t="shared" ref="H27:I27" si="7">SUM(H28:H30)</f>
        <v>395949.38999999996</v>
      </c>
      <c r="I27" s="151">
        <f t="shared" si="7"/>
        <v>791843.83999999997</v>
      </c>
    </row>
    <row r="28" spans="1:9" x14ac:dyDescent="0.3">
      <c r="A28" s="85" t="s">
        <v>65</v>
      </c>
      <c r="B28" s="19" t="str">
        <f>A28</f>
        <v>Material de consumo geral</v>
      </c>
      <c r="C28" s="20">
        <v>80000</v>
      </c>
      <c r="D28" s="21">
        <v>150108.09831394075</v>
      </c>
      <c r="E28" s="127">
        <f t="shared" si="0"/>
        <v>-0.4670507394432144</v>
      </c>
      <c r="F28" s="44">
        <v>211200</v>
      </c>
      <c r="G28" s="22">
        <f t="shared" si="5"/>
        <v>-0.62121212121212122</v>
      </c>
      <c r="H28" s="118">
        <v>118631.76000000001</v>
      </c>
      <c r="I28" s="118">
        <v>162653.39999999997</v>
      </c>
    </row>
    <row r="29" spans="1:9" x14ac:dyDescent="0.3">
      <c r="A29" s="85" t="s">
        <v>67</v>
      </c>
      <c r="B29" s="19" t="str">
        <f>A29</f>
        <v>Mercadoria de uso geral</v>
      </c>
      <c r="C29" s="20">
        <v>74000</v>
      </c>
      <c r="D29" s="21">
        <v>261757.72469515033</v>
      </c>
      <c r="E29" s="127">
        <f t="shared" si="0"/>
        <v>-0.71729583115003659</v>
      </c>
      <c r="F29" s="44">
        <v>164500</v>
      </c>
      <c r="G29" s="22">
        <f t="shared" si="5"/>
        <v>-0.55015197568389063</v>
      </c>
      <c r="H29" s="118">
        <v>193310.58999999997</v>
      </c>
      <c r="I29" s="118">
        <v>551527.59000000008</v>
      </c>
    </row>
    <row r="30" spans="1:9" x14ac:dyDescent="0.3">
      <c r="A30" s="85" t="s">
        <v>66</v>
      </c>
      <c r="B30" s="56" t="str">
        <f>A30</f>
        <v>Mercadoria de revenda e consumo</v>
      </c>
      <c r="C30" s="20">
        <v>65000</v>
      </c>
      <c r="D30" s="67">
        <v>88645.235280196037</v>
      </c>
      <c r="E30" s="124">
        <f t="shared" si="0"/>
        <v>-0.26674005890397301</v>
      </c>
      <c r="F30" s="59">
        <v>112400</v>
      </c>
      <c r="G30" s="22">
        <f t="shared" si="5"/>
        <v>-0.42170818505338081</v>
      </c>
      <c r="H30" s="118">
        <v>84007.039999999979</v>
      </c>
      <c r="I30" s="118">
        <v>77662.850000000006</v>
      </c>
    </row>
    <row r="31" spans="1:9" s="45" customFormat="1" hidden="1" x14ac:dyDescent="0.3">
      <c r="B31" s="61" t="s">
        <v>68</v>
      </c>
      <c r="C31" s="40">
        <f>SUM(C32)</f>
        <v>0</v>
      </c>
      <c r="D31" s="62">
        <f>SUM(D32)</f>
        <v>0</v>
      </c>
      <c r="E31" s="16">
        <f t="shared" si="0"/>
        <v>0</v>
      </c>
      <c r="F31" s="63">
        <f>SUM(F32)</f>
        <v>0</v>
      </c>
      <c r="G31" s="22">
        <f t="shared" si="5"/>
        <v>0</v>
      </c>
      <c r="H31" s="147">
        <f t="shared" ref="H31:I31" si="8">SUM(H32)</f>
        <v>0</v>
      </c>
      <c r="I31" s="147">
        <f t="shared" si="8"/>
        <v>0</v>
      </c>
    </row>
    <row r="32" spans="1:9" hidden="1" x14ac:dyDescent="0.3">
      <c r="B32" s="19" t="s">
        <v>68</v>
      </c>
      <c r="C32" s="20">
        <v>0</v>
      </c>
      <c r="D32" s="21"/>
      <c r="E32" s="16">
        <f t="shared" si="0"/>
        <v>0</v>
      </c>
      <c r="F32" s="44">
        <v>0</v>
      </c>
      <c r="G32" s="22">
        <f t="shared" si="5"/>
        <v>0</v>
      </c>
      <c r="H32" s="118">
        <v>0</v>
      </c>
      <c r="I32" s="118">
        <v>0</v>
      </c>
    </row>
    <row r="33" spans="1:9" hidden="1" x14ac:dyDescent="0.3">
      <c r="B33" s="39" t="s">
        <v>69</v>
      </c>
      <c r="C33" s="53">
        <f>SUM(C34)</f>
        <v>0</v>
      </c>
      <c r="D33" s="65">
        <f>SUM(D34)</f>
        <v>0</v>
      </c>
      <c r="E33" s="16">
        <f t="shared" si="0"/>
        <v>0</v>
      </c>
      <c r="F33" s="55">
        <f>SUM(F34)</f>
        <v>0</v>
      </c>
      <c r="G33" s="22">
        <f t="shared" si="5"/>
        <v>0</v>
      </c>
      <c r="H33" s="151">
        <f t="shared" ref="H33:I33" si="9">SUM(H34)</f>
        <v>0</v>
      </c>
      <c r="I33" s="151">
        <f t="shared" si="9"/>
        <v>0</v>
      </c>
    </row>
    <row r="34" spans="1:9" hidden="1" x14ac:dyDescent="0.3">
      <c r="B34" s="19" t="s">
        <v>70</v>
      </c>
      <c r="C34" s="20"/>
      <c r="D34" s="21"/>
      <c r="E34" s="16">
        <f t="shared" si="0"/>
        <v>0</v>
      </c>
      <c r="F34" s="44">
        <v>0</v>
      </c>
      <c r="G34" s="22">
        <f t="shared" si="5"/>
        <v>0</v>
      </c>
      <c r="H34" s="118"/>
      <c r="I34" s="118"/>
    </row>
    <row r="35" spans="1:9" x14ac:dyDescent="0.3">
      <c r="B35" s="39" t="s">
        <v>71</v>
      </c>
      <c r="C35" s="53">
        <f>SUM(C36:C38)</f>
        <v>78000</v>
      </c>
      <c r="D35" s="65">
        <f>SUM(D36:D38)</f>
        <v>270538.64938277245</v>
      </c>
      <c r="E35" s="131">
        <f t="shared" si="0"/>
        <v>-0.71168629629091762</v>
      </c>
      <c r="F35" s="55">
        <f>SUM(F36:F38)</f>
        <v>171400</v>
      </c>
      <c r="G35" s="132">
        <f t="shared" si="5"/>
        <v>-0.54492415402567096</v>
      </c>
      <c r="H35" s="151">
        <f t="shared" ref="H35:I35" si="10">SUM(H36:H38)</f>
        <v>146526.62</v>
      </c>
      <c r="I35" s="151">
        <f t="shared" si="10"/>
        <v>107241.35999999999</v>
      </c>
    </row>
    <row r="36" spans="1:9" s="38" customFormat="1" x14ac:dyDescent="0.3">
      <c r="A36" s="85" t="s">
        <v>73</v>
      </c>
      <c r="B36" s="19" t="str">
        <f>A36</f>
        <v>Outros gastos gerais</v>
      </c>
      <c r="C36" s="20">
        <v>78000</v>
      </c>
      <c r="D36" s="21">
        <v>135421.35127937788</v>
      </c>
      <c r="E36" s="127">
        <f t="shared" si="0"/>
        <v>-0.42401992549104084</v>
      </c>
      <c r="F36" s="44">
        <v>135400</v>
      </c>
      <c r="G36" s="128">
        <f t="shared" si="5"/>
        <v>-0.4239290989660266</v>
      </c>
      <c r="H36" s="118">
        <v>70323.53</v>
      </c>
      <c r="I36" s="118">
        <v>59816.579999999994</v>
      </c>
    </row>
    <row r="37" spans="1:9" s="38" customFormat="1" x14ac:dyDescent="0.3">
      <c r="A37" s="85" t="s">
        <v>72</v>
      </c>
      <c r="B37" s="19" t="str">
        <f>A37</f>
        <v>Locomoções gerais - viagens - estadias</v>
      </c>
      <c r="C37" s="20">
        <v>0</v>
      </c>
      <c r="D37" s="21">
        <v>135024.87810339456</v>
      </c>
      <c r="E37" s="127">
        <f t="shared" si="0"/>
        <v>-1</v>
      </c>
      <c r="F37" s="44">
        <v>36000</v>
      </c>
      <c r="G37" s="128">
        <f t="shared" si="5"/>
        <v>-1</v>
      </c>
      <c r="H37" s="118">
        <v>75542.75</v>
      </c>
      <c r="I37" s="118">
        <v>46521</v>
      </c>
    </row>
    <row r="38" spans="1:9" x14ac:dyDescent="0.3">
      <c r="A38" s="85" t="s">
        <v>82</v>
      </c>
      <c r="B38" s="19" t="str">
        <f>A38</f>
        <v>Despesas financeiras</v>
      </c>
      <c r="C38" s="20">
        <v>0</v>
      </c>
      <c r="D38" s="67">
        <v>92.42</v>
      </c>
      <c r="E38" s="124">
        <f t="shared" si="0"/>
        <v>-1</v>
      </c>
      <c r="F38" s="59">
        <v>0</v>
      </c>
      <c r="G38" s="126">
        <f t="shared" si="5"/>
        <v>0</v>
      </c>
      <c r="H38" s="118">
        <v>660.34</v>
      </c>
      <c r="I38" s="118">
        <v>903.78</v>
      </c>
    </row>
    <row r="39" spans="1:9" x14ac:dyDescent="0.3">
      <c r="B39" s="39" t="s">
        <v>83</v>
      </c>
      <c r="C39" s="53">
        <f>SUM(C40)</f>
        <v>0</v>
      </c>
      <c r="D39" s="65">
        <f>SUM(D40)</f>
        <v>74.77</v>
      </c>
      <c r="E39" s="16">
        <f t="shared" si="0"/>
        <v>-1</v>
      </c>
      <c r="F39" s="55">
        <f>SUM(F40)</f>
        <v>0</v>
      </c>
      <c r="G39" s="22">
        <f t="shared" si="5"/>
        <v>0</v>
      </c>
      <c r="H39" s="151">
        <f t="shared" ref="H39:I39" si="11">SUM(H40)</f>
        <v>4293.6400000000003</v>
      </c>
      <c r="I39" s="151">
        <f t="shared" si="11"/>
        <v>39016.5</v>
      </c>
    </row>
    <row r="40" spans="1:9" x14ac:dyDescent="0.3">
      <c r="A40" s="85" t="s">
        <v>83</v>
      </c>
      <c r="B40" s="19" t="str">
        <f>A40</f>
        <v>Tributários fiscais e taxas</v>
      </c>
      <c r="C40" s="20">
        <v>0</v>
      </c>
      <c r="D40" s="69">
        <v>74.77</v>
      </c>
      <c r="E40" s="16">
        <f t="shared" si="0"/>
        <v>-1</v>
      </c>
      <c r="F40" s="96">
        <v>0</v>
      </c>
      <c r="G40" s="22">
        <f t="shared" si="5"/>
        <v>0</v>
      </c>
      <c r="H40" s="118">
        <v>4293.6400000000003</v>
      </c>
      <c r="I40" s="118">
        <v>39016.5</v>
      </c>
    </row>
    <row r="41" spans="1:9" x14ac:dyDescent="0.3">
      <c r="B41" s="26" t="s">
        <v>51</v>
      </c>
      <c r="C41" s="51">
        <f>SUM(C39+C35+C33+C31+C27+C24+C19)</f>
        <v>5800616.3583728923</v>
      </c>
      <c r="D41" s="28">
        <f>SUM(D39+D35+D33+D31+D27+D24+D19)</f>
        <v>5502694.4396709809</v>
      </c>
      <c r="E41" s="121">
        <f t="shared" si="0"/>
        <v>5.4141097959952367E-2</v>
      </c>
      <c r="F41" s="49">
        <f>SUM(F39+F35+F33+F31+F27+F24+F19)</f>
        <v>5852419.9800000014</v>
      </c>
      <c r="G41" s="122">
        <f t="shared" si="5"/>
        <v>-8.8516582549000855E-3</v>
      </c>
      <c r="H41" s="150">
        <f t="shared" ref="H41:I41" si="12">SUM(H39+H35+H33+H31+H27+H24+H19)</f>
        <v>4772815.76</v>
      </c>
      <c r="I41" s="142">
        <f t="shared" si="12"/>
        <v>5031825.9699999988</v>
      </c>
    </row>
    <row r="42" spans="1:9" x14ac:dyDescent="0.3">
      <c r="B42" s="74"/>
      <c r="C42" s="76"/>
      <c r="D42" s="76"/>
      <c r="E42" s="76"/>
      <c r="F42" s="76"/>
      <c r="G42" s="76"/>
      <c r="H42" s="76"/>
      <c r="I42" s="76"/>
    </row>
  </sheetData>
  <mergeCells count="3">
    <mergeCell ref="B3:B4"/>
    <mergeCell ref="B9:B10"/>
    <mergeCell ref="B17:B18"/>
  </mergeCells>
  <pageMargins left="0.511811024" right="0.511811024" top="0.78740157499999996" bottom="0.78740157499999996" header="0.31496062000000002" footer="0.31496062000000002"/>
  <ignoredErrors>
    <ignoredError sqref="F24 F27 F31:F35 F39 C39:D39 C31:D35 C27:D27 C24:D24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5"/>
  <sheetViews>
    <sheetView showGridLines="0" showRowColHeaders="0" topLeftCell="B1" workbookViewId="0">
      <selection activeCell="J21" sqref="J21"/>
    </sheetView>
  </sheetViews>
  <sheetFormatPr defaultRowHeight="14.4" x14ac:dyDescent="0.3"/>
  <cols>
    <col min="1" max="1" width="11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176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Administração de Esportes</v>
      </c>
      <c r="B5" s="13" t="str">
        <f>'47-EOF_ADM_OLIM'!B5</f>
        <v>Administração de Esportes</v>
      </c>
      <c r="C5" s="88">
        <f>'47-EOF_ADM_OLIM'!C5</f>
        <v>5800617</v>
      </c>
      <c r="D5" s="21">
        <f>'47-EOF_ADM_OLIM'!D5</f>
        <v>5502694.4396709865</v>
      </c>
      <c r="E5" s="16">
        <f>IFERROR(C5/D5-1,0)</f>
        <v>5.4141214562302142E-2</v>
      </c>
      <c r="F5" s="44">
        <f>'47-EOF_ADM_OLIM'!F5</f>
        <v>5852419.9799999986</v>
      </c>
      <c r="G5" s="17">
        <f>IFERROR(C5/F5-1,0)</f>
        <v>-8.8515486204048255E-3</v>
      </c>
      <c r="H5" s="155">
        <f>'47-EOF_ADM_OLIM'!H5</f>
        <v>4772815.759999997</v>
      </c>
      <c r="I5" s="155">
        <f>'47-EOF_ADM_OLIM'!I5</f>
        <v>5031825.97</v>
      </c>
    </row>
    <row r="6" spans="1:9" s="38" customFormat="1" x14ac:dyDescent="0.3">
      <c r="A6" s="38" t="str">
        <f>B6</f>
        <v>Esportes Coletivos</v>
      </c>
      <c r="B6" s="61" t="str">
        <f>'47-EOF_ADM_OLIM'!B6</f>
        <v>Esportes Coletivos</v>
      </c>
      <c r="C6" s="87">
        <f>'47-EOF_ADM_OLIM'!C6</f>
        <v>16247945.13503764</v>
      </c>
      <c r="D6" s="62">
        <f>'47-EOF_ADM_OLIM'!D6</f>
        <v>17200766.447290443</v>
      </c>
      <c r="E6" s="129">
        <f t="shared" ref="E6:E44" si="0">IFERROR(C6/D6-1,0)</f>
        <v>-5.5394119510465023E-2</v>
      </c>
      <c r="F6" s="42">
        <f>'47-EOF_ADM_OLIM'!F6</f>
        <v>14821721.95999999</v>
      </c>
      <c r="G6" s="130">
        <f t="shared" ref="G6:G44" si="1">IFERROR(C6/F6-1,0)</f>
        <v>9.6225201018252715E-2</v>
      </c>
      <c r="H6" s="156">
        <f>'47-EOF_ADM_OLIM'!H6</f>
        <v>16689806.889999989</v>
      </c>
      <c r="I6" s="156">
        <f>'47-EOF_ADM_OLIM'!I6</f>
        <v>16718527.789999999</v>
      </c>
    </row>
    <row r="7" spans="1:9" x14ac:dyDescent="0.3">
      <c r="B7" s="46" t="s">
        <v>51</v>
      </c>
      <c r="C7" s="51">
        <f>SUM(C5:C6)</f>
        <v>22048562.135037638</v>
      </c>
      <c r="D7" s="28">
        <f>SUM(D5:D6)</f>
        <v>22703460.88696143</v>
      </c>
      <c r="E7" s="121">
        <f t="shared" si="0"/>
        <v>-2.8845767400154432E-2</v>
      </c>
      <c r="F7" s="28">
        <f>SUM(F5:F6)</f>
        <v>20674141.93999999</v>
      </c>
      <c r="G7" s="122">
        <f t="shared" si="1"/>
        <v>6.6480156662678258E-2</v>
      </c>
      <c r="H7" s="150">
        <f t="shared" ref="H7:I7" si="2">SUM(H5:H6)</f>
        <v>21462622.649999987</v>
      </c>
      <c r="I7" s="142">
        <f t="shared" si="2"/>
        <v>21750353.759999998</v>
      </c>
    </row>
    <row r="8" spans="1:9" x14ac:dyDescent="0.3">
      <c r="B8" s="38"/>
      <c r="C8" s="50"/>
      <c r="D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 s="115" t="s">
        <v>177</v>
      </c>
      <c r="B11" s="19" t="str">
        <f t="shared" ref="B11:B16" si="3">A11</f>
        <v>Basquete Alto Rendimento</v>
      </c>
      <c r="C11" s="88">
        <v>4223437.4823201057</v>
      </c>
      <c r="D11" s="118">
        <v>4708897.1149096666</v>
      </c>
      <c r="E11" s="141">
        <f t="shared" si="0"/>
        <v>-0.10309412602209167</v>
      </c>
      <c r="F11" s="119">
        <v>3105876.5699999975</v>
      </c>
      <c r="G11" s="22">
        <f>IFERROR(C11/F11-1,0)</f>
        <v>0.3598214182478312</v>
      </c>
      <c r="H11" s="155">
        <v>4868754.1500000041</v>
      </c>
      <c r="I11" s="155">
        <v>5261334.7600000016</v>
      </c>
    </row>
    <row r="12" spans="1:9" x14ac:dyDescent="0.3">
      <c r="A12" s="115" t="s">
        <v>180</v>
      </c>
      <c r="B12" s="19" t="str">
        <f t="shared" si="3"/>
        <v>Voleibol Formação e Especialização</v>
      </c>
      <c r="C12" s="88">
        <v>2726806.707966927</v>
      </c>
      <c r="D12" s="118">
        <v>2144833.9017585926</v>
      </c>
      <c r="E12" s="141">
        <f t="shared" si="0"/>
        <v>0.27133700457231824</v>
      </c>
      <c r="F12" s="119">
        <v>2110316.2599999988</v>
      </c>
      <c r="G12" s="22">
        <f>IFERROR(C12/F12-1,0)</f>
        <v>0.29213178121791494</v>
      </c>
      <c r="H12" s="155">
        <v>2093201.17</v>
      </c>
      <c r="I12" s="155">
        <v>1872035.25</v>
      </c>
    </row>
    <row r="13" spans="1:9" x14ac:dyDescent="0.3">
      <c r="A13" s="115" t="s">
        <v>181</v>
      </c>
      <c r="B13" s="19" t="str">
        <f t="shared" si="3"/>
        <v>Basquete Formação e Especialização</v>
      </c>
      <c r="C13" s="88">
        <v>2605864.215172525</v>
      </c>
      <c r="D13" s="118">
        <v>1608408.6360225335</v>
      </c>
      <c r="E13" s="141">
        <f t="shared" si="0"/>
        <v>0.62015059905212877</v>
      </c>
      <c r="F13" s="119">
        <v>1838756.6300000004</v>
      </c>
      <c r="G13" s="24">
        <f t="shared" si="1"/>
        <v>0.4171882089542891</v>
      </c>
      <c r="H13" s="155">
        <v>1736778.5300000003</v>
      </c>
      <c r="I13" s="155">
        <v>1542520.3499999999</v>
      </c>
    </row>
    <row r="14" spans="1:9" x14ac:dyDescent="0.3">
      <c r="A14" s="115" t="s">
        <v>182</v>
      </c>
      <c r="B14" s="19" t="str">
        <f t="shared" si="3"/>
        <v>Handebol Formação e Especialização</v>
      </c>
      <c r="C14" s="88">
        <v>2433910.9742097044</v>
      </c>
      <c r="D14" s="118">
        <v>2484981.3161443081</v>
      </c>
      <c r="E14" s="141">
        <f t="shared" si="0"/>
        <v>-2.0551599966894041E-2</v>
      </c>
      <c r="F14" s="119">
        <v>2061360.3599999994</v>
      </c>
      <c r="G14" s="24">
        <f t="shared" si="1"/>
        <v>0.18073046393969916</v>
      </c>
      <c r="H14" s="155">
        <v>2119206.7999999984</v>
      </c>
      <c r="I14" s="155">
        <v>3044580.0599999996</v>
      </c>
    </row>
    <row r="15" spans="1:9" x14ac:dyDescent="0.3">
      <c r="A15" s="115" t="s">
        <v>179</v>
      </c>
      <c r="B15" s="19" t="str">
        <f t="shared" si="3"/>
        <v>Handebol Alto Rendimento</v>
      </c>
      <c r="C15" s="88">
        <v>2196680.4007124966</v>
      </c>
      <c r="D15" s="118">
        <v>3011282.5646799263</v>
      </c>
      <c r="E15" s="141">
        <f t="shared" si="0"/>
        <v>-0.27051668067357704</v>
      </c>
      <c r="F15" s="119">
        <v>1769500</v>
      </c>
      <c r="G15" s="22">
        <f t="shared" si="1"/>
        <v>0.24141305493783372</v>
      </c>
      <c r="H15" s="155">
        <v>2239991.2000000002</v>
      </c>
      <c r="I15" s="155">
        <v>1820626.5099999998</v>
      </c>
    </row>
    <row r="16" spans="1:9" x14ac:dyDescent="0.3">
      <c r="A16" s="115" t="s">
        <v>178</v>
      </c>
      <c r="B16" s="19" t="str">
        <f t="shared" si="3"/>
        <v>Voleibol Alto Rendimento</v>
      </c>
      <c r="C16" s="88">
        <v>2061245.3546559243</v>
      </c>
      <c r="D16" s="118">
        <v>3242362.9137753882</v>
      </c>
      <c r="E16" s="141">
        <f t="shared" si="0"/>
        <v>-0.36427679150332304</v>
      </c>
      <c r="F16" s="119">
        <v>3935912.1399999964</v>
      </c>
      <c r="G16" s="24">
        <f t="shared" si="1"/>
        <v>-0.4762979250202658</v>
      </c>
      <c r="H16" s="155">
        <v>3631875.0399999996</v>
      </c>
      <c r="I16" s="155">
        <v>3177430.8599999989</v>
      </c>
    </row>
    <row r="17" spans="1:9" x14ac:dyDescent="0.3">
      <c r="B17" s="46" t="s">
        <v>51</v>
      </c>
      <c r="C17" s="51">
        <f>SUM(C11:C16)</f>
        <v>16247945.135037687</v>
      </c>
      <c r="D17" s="143">
        <f>SUM(D11:D16)</f>
        <v>17200766.447290413</v>
      </c>
      <c r="E17" s="146">
        <f t="shared" si="0"/>
        <v>-5.5394119510460582E-2</v>
      </c>
      <c r="F17" s="143">
        <f>SUM(F11:F16)</f>
        <v>14821721.959999993</v>
      </c>
      <c r="G17" s="122">
        <f t="shared" si="1"/>
        <v>9.6225201018255602E-2</v>
      </c>
      <c r="H17" s="150">
        <f t="shared" ref="H17:I17" si="4">SUM(H11:H16)</f>
        <v>16689806.890000004</v>
      </c>
      <c r="I17" s="142">
        <f t="shared" si="4"/>
        <v>16718527.790000001</v>
      </c>
    </row>
    <row r="18" spans="1:9" x14ac:dyDescent="0.3">
      <c r="B18" s="38"/>
      <c r="C18" s="50"/>
      <c r="D18" s="50"/>
      <c r="H18" s="50"/>
      <c r="I18" s="50"/>
    </row>
    <row r="19" spans="1:9" x14ac:dyDescent="0.3">
      <c r="B19" s="202" t="s">
        <v>56</v>
      </c>
      <c r="C19" s="8"/>
      <c r="D19" s="8"/>
      <c r="E19" s="36"/>
      <c r="F19" s="36"/>
      <c r="G19" s="36"/>
      <c r="H19" s="8"/>
      <c r="I19" s="8"/>
    </row>
    <row r="20" spans="1:9" ht="43.2" x14ac:dyDescent="0.3">
      <c r="B20" s="203"/>
      <c r="C20" s="10" t="str">
        <f>'23-Despesas '!C$4</f>
        <v>Orçamento 2026</v>
      </c>
      <c r="D20" s="10" t="str">
        <f>'23-Despesas '!D$4</f>
        <v>Projeção 2025</v>
      </c>
      <c r="E20" s="11" t="s">
        <v>6</v>
      </c>
      <c r="F20" s="37" t="str">
        <f>'23-Despesas '!F$4</f>
        <v>Orçamento 2025</v>
      </c>
      <c r="G20" s="12" t="s">
        <v>8</v>
      </c>
      <c r="H20" s="10" t="s">
        <v>382</v>
      </c>
      <c r="I20" s="10" t="s">
        <v>197</v>
      </c>
    </row>
    <row r="21" spans="1:9" x14ac:dyDescent="0.3">
      <c r="B21" s="39" t="s">
        <v>57</v>
      </c>
      <c r="C21" s="89">
        <f>SUM(C22:C25)</f>
        <v>5524510.628635115</v>
      </c>
      <c r="D21" s="65">
        <f>SUM(D22:D25)</f>
        <v>4200827.054204328</v>
      </c>
      <c r="E21" s="129">
        <f t="shared" si="0"/>
        <v>0.31510070692055758</v>
      </c>
      <c r="F21" s="55">
        <f>SUM(F22:F25)</f>
        <v>3778651.1100000003</v>
      </c>
      <c r="G21" s="130">
        <f t="shared" si="1"/>
        <v>0.46203247344397314</v>
      </c>
      <c r="H21" s="157">
        <f t="shared" ref="H21:I21" si="5">SUM(H22:H25)</f>
        <v>4556560.0699999984</v>
      </c>
      <c r="I21" s="157">
        <f t="shared" si="5"/>
        <v>4497392.3900000006</v>
      </c>
    </row>
    <row r="22" spans="1:9" x14ac:dyDescent="0.3">
      <c r="A22" s="85" t="s">
        <v>58</v>
      </c>
      <c r="B22" s="19" t="str">
        <f>A22</f>
        <v>Salários e provisões</v>
      </c>
      <c r="C22" s="88">
        <v>3540009.4402453634</v>
      </c>
      <c r="D22" s="21">
        <v>2320030.7792098038</v>
      </c>
      <c r="E22" s="16">
        <f t="shared" si="0"/>
        <v>0.52584589479070654</v>
      </c>
      <c r="F22" s="44">
        <v>1736016.36</v>
      </c>
      <c r="G22" s="22">
        <f t="shared" si="1"/>
        <v>1.0391567279039715</v>
      </c>
      <c r="H22" s="155">
        <v>2846472.77</v>
      </c>
      <c r="I22" s="155">
        <v>2811508.1600000006</v>
      </c>
    </row>
    <row r="23" spans="1:9" x14ac:dyDescent="0.3">
      <c r="A23" s="85" t="s">
        <v>59</v>
      </c>
      <c r="B23" s="19" t="str">
        <f>A23</f>
        <v>Encargos sociais</v>
      </c>
      <c r="C23" s="88">
        <v>1200853.351287104</v>
      </c>
      <c r="D23" s="21">
        <v>1283059.3415275819</v>
      </c>
      <c r="E23" s="16">
        <f t="shared" si="0"/>
        <v>-6.4070294786681803E-2</v>
      </c>
      <c r="F23" s="44">
        <v>1462068.8800000001</v>
      </c>
      <c r="G23" s="22">
        <f t="shared" si="1"/>
        <v>-0.17866157489987489</v>
      </c>
      <c r="H23" s="155">
        <v>1166053.8199999991</v>
      </c>
      <c r="I23" s="155">
        <v>1138079.0299999998</v>
      </c>
    </row>
    <row r="24" spans="1:9" x14ac:dyDescent="0.3">
      <c r="A24" s="85" t="s">
        <v>60</v>
      </c>
      <c r="B24" s="19" t="str">
        <f>A24</f>
        <v>Benefícios</v>
      </c>
      <c r="C24" s="88">
        <v>656322.31710264843</v>
      </c>
      <c r="D24" s="21">
        <v>502898.63518553367</v>
      </c>
      <c r="E24" s="16">
        <f t="shared" si="0"/>
        <v>0.305078739894596</v>
      </c>
      <c r="F24" s="44">
        <v>493949.87000000034</v>
      </c>
      <c r="G24" s="22">
        <f t="shared" si="1"/>
        <v>0.32872252219167097</v>
      </c>
      <c r="H24" s="155">
        <v>470961.01999999967</v>
      </c>
      <c r="I24" s="155">
        <v>457567.95000000013</v>
      </c>
    </row>
    <row r="25" spans="1:9" x14ac:dyDescent="0.3">
      <c r="A25" s="85" t="s">
        <v>61</v>
      </c>
      <c r="B25" s="19" t="str">
        <f>A25</f>
        <v>Outros</v>
      </c>
      <c r="C25" s="88">
        <v>127325.51999999993</v>
      </c>
      <c r="D25" s="21">
        <v>94838.298281408293</v>
      </c>
      <c r="E25" s="16">
        <f t="shared" si="0"/>
        <v>0.3425538237958905</v>
      </c>
      <c r="F25" s="44">
        <v>86616.000000000029</v>
      </c>
      <c r="G25" s="22">
        <f t="shared" si="1"/>
        <v>0.46999999999999864</v>
      </c>
      <c r="H25" s="155">
        <v>73072.459999999992</v>
      </c>
      <c r="I25" s="155">
        <v>90237.25</v>
      </c>
    </row>
    <row r="26" spans="1:9" x14ac:dyDescent="0.3">
      <c r="B26" s="39" t="s">
        <v>62</v>
      </c>
      <c r="C26" s="89">
        <f>SUM(C27:C29)</f>
        <v>7395149.9977777768</v>
      </c>
      <c r="D26" s="65">
        <f>SUM(D27:D29)</f>
        <v>9106433.3176577501</v>
      </c>
      <c r="E26" s="131">
        <f t="shared" si="0"/>
        <v>-0.18792026034624598</v>
      </c>
      <c r="F26" s="55">
        <f>SUM(F27:F29)</f>
        <v>8217542.0399999982</v>
      </c>
      <c r="G26" s="132">
        <f t="shared" si="1"/>
        <v>-0.10007761910059199</v>
      </c>
      <c r="H26" s="157">
        <f t="shared" ref="H26:I26" si="6">SUM(H27:H29)</f>
        <v>9100056.679999996</v>
      </c>
      <c r="I26" s="157">
        <f t="shared" si="6"/>
        <v>8568142.7400000002</v>
      </c>
    </row>
    <row r="27" spans="1:9" s="38" customFormat="1" x14ac:dyDescent="0.3">
      <c r="A27" s="85" t="s">
        <v>135</v>
      </c>
      <c r="B27" s="19" t="str">
        <f>A27</f>
        <v>Despesas com atletas</v>
      </c>
      <c r="C27" s="88">
        <v>5197000</v>
      </c>
      <c r="D27" s="21">
        <v>5702667.5226890668</v>
      </c>
      <c r="E27" s="127">
        <f t="shared" si="0"/>
        <v>-8.8672103130189472E-2</v>
      </c>
      <c r="F27" s="44">
        <v>5384505.129999998</v>
      </c>
      <c r="G27" s="128">
        <f t="shared" si="1"/>
        <v>-3.4823094318418457E-2</v>
      </c>
      <c r="H27" s="155">
        <v>6195641.179999996</v>
      </c>
      <c r="I27" s="155">
        <v>5895969.7100000009</v>
      </c>
    </row>
    <row r="28" spans="1:9" s="38" customFormat="1" x14ac:dyDescent="0.3">
      <c r="A28" s="85" t="s">
        <v>63</v>
      </c>
      <c r="B28" s="19" t="str">
        <f>A28</f>
        <v>Serviços contratados</v>
      </c>
      <c r="C28" s="88">
        <v>2198149.9977777773</v>
      </c>
      <c r="D28" s="21">
        <v>3403170.5449686842</v>
      </c>
      <c r="E28" s="127">
        <f t="shared" si="0"/>
        <v>-0.35408761661164279</v>
      </c>
      <c r="F28" s="44">
        <v>2833036.91</v>
      </c>
      <c r="G28" s="128">
        <f t="shared" si="1"/>
        <v>-0.22410117919085737</v>
      </c>
      <c r="H28" s="155">
        <v>2903344.0500000007</v>
      </c>
      <c r="I28" s="155">
        <v>2672173.0299999998</v>
      </c>
    </row>
    <row r="29" spans="1:9" x14ac:dyDescent="0.3">
      <c r="A29" s="85" t="s">
        <v>100</v>
      </c>
      <c r="B29" s="19" t="str">
        <f>A29</f>
        <v>Encargos sobre serviços contratados</v>
      </c>
      <c r="C29" s="88">
        <v>0</v>
      </c>
      <c r="D29" s="21">
        <v>595.25</v>
      </c>
      <c r="E29" s="124">
        <f t="shared" si="0"/>
        <v>-1</v>
      </c>
      <c r="F29" s="44">
        <v>0</v>
      </c>
      <c r="G29" s="126">
        <f t="shared" si="1"/>
        <v>0</v>
      </c>
      <c r="H29" s="155">
        <v>1071.4499999999998</v>
      </c>
      <c r="I29" s="155">
        <v>0</v>
      </c>
    </row>
    <row r="30" spans="1:9" x14ac:dyDescent="0.3">
      <c r="A30" s="85"/>
      <c r="B30" s="39" t="s">
        <v>64</v>
      </c>
      <c r="C30" s="89">
        <f>SUM(C31:C33)</f>
        <v>1285442.76</v>
      </c>
      <c r="D30" s="65">
        <f>SUM(D31:D33)</f>
        <v>1312437.8468514429</v>
      </c>
      <c r="E30" s="131">
        <f t="shared" si="0"/>
        <v>-2.0568659244477372E-2</v>
      </c>
      <c r="F30" s="55">
        <f>SUM(F31:F33)</f>
        <v>1184128.8</v>
      </c>
      <c r="G30" s="132">
        <f t="shared" si="1"/>
        <v>8.5559915441630885E-2</v>
      </c>
      <c r="H30" s="157">
        <f t="shared" ref="H30:I30" si="7">SUM(H31:H33)</f>
        <v>1188820.7699999998</v>
      </c>
      <c r="I30" s="157">
        <f t="shared" si="7"/>
        <v>1017870.23</v>
      </c>
    </row>
    <row r="31" spans="1:9" x14ac:dyDescent="0.3">
      <c r="A31" s="85" t="s">
        <v>66</v>
      </c>
      <c r="B31" s="19" t="str">
        <f>A31</f>
        <v>Mercadoria de revenda e consumo</v>
      </c>
      <c r="C31" s="88">
        <v>638442.76</v>
      </c>
      <c r="D31" s="21">
        <v>818505.48510300275</v>
      </c>
      <c r="E31" s="127">
        <f t="shared" si="0"/>
        <v>-0.21998963767523583</v>
      </c>
      <c r="F31" s="44">
        <v>724000</v>
      </c>
      <c r="G31" s="128">
        <f t="shared" si="1"/>
        <v>-0.11817298342541438</v>
      </c>
      <c r="H31" s="155">
        <v>937291.36999999988</v>
      </c>
      <c r="I31" s="155">
        <v>799290</v>
      </c>
    </row>
    <row r="32" spans="1:9" x14ac:dyDescent="0.3">
      <c r="A32" s="85" t="s">
        <v>67</v>
      </c>
      <c r="B32" s="19" t="str">
        <f>A32</f>
        <v>Mercadoria de uso geral</v>
      </c>
      <c r="C32" s="88">
        <v>647000</v>
      </c>
      <c r="D32" s="21">
        <v>478915.69174844032</v>
      </c>
      <c r="E32" s="127">
        <f t="shared" si="0"/>
        <v>0.35096847137731535</v>
      </c>
      <c r="F32" s="44">
        <v>460128.8</v>
      </c>
      <c r="G32" s="128">
        <f t="shared" si="1"/>
        <v>0.40612802328391528</v>
      </c>
      <c r="H32" s="155">
        <v>247731.45000000004</v>
      </c>
      <c r="I32" s="155">
        <v>214476.99</v>
      </c>
    </row>
    <row r="33" spans="1:9" x14ac:dyDescent="0.3">
      <c r="A33" s="85" t="s">
        <v>65</v>
      </c>
      <c r="B33" s="56" t="str">
        <f>A33</f>
        <v>Material de consumo geral</v>
      </c>
      <c r="C33" s="88">
        <v>0</v>
      </c>
      <c r="D33" s="67">
        <v>15016.670000000002</v>
      </c>
      <c r="E33" s="124">
        <f t="shared" si="0"/>
        <v>-1</v>
      </c>
      <c r="F33" s="59">
        <v>0</v>
      </c>
      <c r="G33" s="126">
        <f t="shared" si="1"/>
        <v>0</v>
      </c>
      <c r="H33" s="155">
        <v>3797.95</v>
      </c>
      <c r="I33" s="155">
        <v>4103.2400000000007</v>
      </c>
    </row>
    <row r="34" spans="1:9" s="45" customFormat="1" hidden="1" x14ac:dyDescent="0.3">
      <c r="B34" s="61" t="s">
        <v>68</v>
      </c>
      <c r="C34" s="87">
        <f>SUM(C35)</f>
        <v>0</v>
      </c>
      <c r="D34" s="62">
        <f>SUM(D35)</f>
        <v>0</v>
      </c>
      <c r="E34" s="16">
        <f t="shared" si="0"/>
        <v>0</v>
      </c>
      <c r="F34" s="63">
        <f>SUM(F35)</f>
        <v>0</v>
      </c>
      <c r="G34" s="22">
        <f t="shared" si="1"/>
        <v>0</v>
      </c>
      <c r="H34" s="156">
        <f t="shared" ref="H34:I34" si="8">SUM(H35)</f>
        <v>0</v>
      </c>
      <c r="I34" s="156">
        <f t="shared" si="8"/>
        <v>0</v>
      </c>
    </row>
    <row r="35" spans="1:9" hidden="1" x14ac:dyDescent="0.3">
      <c r="B35" s="19" t="s">
        <v>68</v>
      </c>
      <c r="C35" s="88">
        <v>0</v>
      </c>
      <c r="D35" s="21"/>
      <c r="E35" s="16">
        <f t="shared" si="0"/>
        <v>0</v>
      </c>
      <c r="F35" s="44">
        <v>0</v>
      </c>
      <c r="G35" s="22">
        <f t="shared" si="1"/>
        <v>0</v>
      </c>
      <c r="H35" s="155">
        <v>0</v>
      </c>
      <c r="I35" s="155">
        <v>0</v>
      </c>
    </row>
    <row r="36" spans="1:9" hidden="1" x14ac:dyDescent="0.3">
      <c r="B36" s="39" t="s">
        <v>69</v>
      </c>
      <c r="C36" s="94">
        <f>SUM(C37)</f>
        <v>0</v>
      </c>
      <c r="D36" s="15">
        <f>SUM(D37)</f>
        <v>0</v>
      </c>
      <c r="E36" s="16">
        <f t="shared" si="0"/>
        <v>0</v>
      </c>
      <c r="F36" s="86">
        <f>SUM(F37)</f>
        <v>0</v>
      </c>
      <c r="G36" s="22">
        <f t="shared" si="1"/>
        <v>0</v>
      </c>
      <c r="H36" s="158">
        <f t="shared" ref="H36:I36" si="9">SUM(H37)</f>
        <v>0</v>
      </c>
      <c r="I36" s="158">
        <f t="shared" si="9"/>
        <v>0</v>
      </c>
    </row>
    <row r="37" spans="1:9" hidden="1" x14ac:dyDescent="0.3">
      <c r="B37" s="56" t="s">
        <v>70</v>
      </c>
      <c r="C37" s="92">
        <v>0</v>
      </c>
      <c r="D37" s="67">
        <v>0</v>
      </c>
      <c r="E37" s="16">
        <f t="shared" si="0"/>
        <v>0</v>
      </c>
      <c r="F37" s="59">
        <v>0</v>
      </c>
      <c r="G37" s="22">
        <f t="shared" si="1"/>
        <v>0</v>
      </c>
      <c r="H37" s="159">
        <v>0</v>
      </c>
      <c r="I37" s="159">
        <v>0</v>
      </c>
    </row>
    <row r="38" spans="1:9" x14ac:dyDescent="0.3">
      <c r="B38" s="39" t="s">
        <v>71</v>
      </c>
      <c r="C38" s="89">
        <f>SUM(C39:C41)</f>
        <v>2042841.7486247881</v>
      </c>
      <c r="D38" s="65">
        <f>SUM(D39:D41)</f>
        <v>2581068.2285768958</v>
      </c>
      <c r="E38" s="129">
        <f t="shared" si="0"/>
        <v>-0.20852857510429534</v>
      </c>
      <c r="F38" s="55">
        <f>SUM(F39:F41)</f>
        <v>1641400.0099999998</v>
      </c>
      <c r="G38" s="130">
        <f t="shared" si="1"/>
        <v>0.24457276482214008</v>
      </c>
      <c r="H38" s="157">
        <f t="shared" ref="H38:I38" si="10">SUM(H39:H41)</f>
        <v>1844369.3699999996</v>
      </c>
      <c r="I38" s="157">
        <f t="shared" si="10"/>
        <v>2635122.4299999997</v>
      </c>
    </row>
    <row r="39" spans="1:9" s="38" customFormat="1" x14ac:dyDescent="0.3">
      <c r="A39" s="85" t="s">
        <v>72</v>
      </c>
      <c r="B39" s="19" t="str">
        <f>A39</f>
        <v>Locomoções gerais - viagens - estadias</v>
      </c>
      <c r="C39" s="88">
        <v>1934841.7486247881</v>
      </c>
      <c r="D39" s="21">
        <v>1924985.2385043278</v>
      </c>
      <c r="E39" s="16">
        <f t="shared" si="0"/>
        <v>5.1203042617191663E-3</v>
      </c>
      <c r="F39" s="44">
        <v>1515000.0099999998</v>
      </c>
      <c r="G39" s="22">
        <f t="shared" si="1"/>
        <v>0.27712325798914583</v>
      </c>
      <c r="H39" s="155">
        <v>1721167.3699999996</v>
      </c>
      <c r="I39" s="155">
        <v>2492010.5099999998</v>
      </c>
    </row>
    <row r="40" spans="1:9" s="38" customFormat="1" x14ac:dyDescent="0.3">
      <c r="A40" s="85" t="s">
        <v>73</v>
      </c>
      <c r="B40" s="19" t="str">
        <f>A40</f>
        <v>Outros gastos gerais</v>
      </c>
      <c r="C40" s="88">
        <v>108000</v>
      </c>
      <c r="D40" s="21">
        <v>641720.54007256776</v>
      </c>
      <c r="E40" s="16">
        <f t="shared" si="0"/>
        <v>-0.83170244170805718</v>
      </c>
      <c r="F40" s="44">
        <v>126400</v>
      </c>
      <c r="G40" s="22">
        <f t="shared" si="1"/>
        <v>-0.14556962025316456</v>
      </c>
      <c r="H40" s="155">
        <v>116456.96999999997</v>
      </c>
      <c r="I40" s="155">
        <v>140151.34</v>
      </c>
    </row>
    <row r="41" spans="1:9" x14ac:dyDescent="0.3">
      <c r="A41" s="85" t="s">
        <v>82</v>
      </c>
      <c r="B41" s="56" t="str">
        <f>A41</f>
        <v>Despesas financeiras</v>
      </c>
      <c r="C41" s="88">
        <v>0</v>
      </c>
      <c r="D41" s="67">
        <v>14362.449999999995</v>
      </c>
      <c r="E41" s="16">
        <f t="shared" si="0"/>
        <v>-1</v>
      </c>
      <c r="F41" s="59">
        <v>0</v>
      </c>
      <c r="G41" s="22">
        <f t="shared" si="1"/>
        <v>0</v>
      </c>
      <c r="H41" s="155">
        <v>6745.0299999999979</v>
      </c>
      <c r="I41" s="155">
        <v>2960.58</v>
      </c>
    </row>
    <row r="42" spans="1:9" s="45" customFormat="1" hidden="1" x14ac:dyDescent="0.3">
      <c r="B42" s="61" t="s">
        <v>101</v>
      </c>
      <c r="C42" s="87">
        <f>SUM(C43)</f>
        <v>0</v>
      </c>
      <c r="D42" s="62">
        <f>SUM(D43)</f>
        <v>0</v>
      </c>
      <c r="E42" s="16">
        <f t="shared" si="0"/>
        <v>0</v>
      </c>
      <c r="F42" s="63">
        <f>SUM(F43)</f>
        <v>0</v>
      </c>
      <c r="G42" s="22">
        <f t="shared" si="1"/>
        <v>0</v>
      </c>
      <c r="H42" s="156">
        <f t="shared" ref="H42:I42" si="11">SUM(H43)</f>
        <v>0</v>
      </c>
      <c r="I42" s="156">
        <f t="shared" si="11"/>
        <v>0</v>
      </c>
    </row>
    <row r="43" spans="1:9" hidden="1" x14ac:dyDescent="0.3">
      <c r="B43" s="19" t="s">
        <v>101</v>
      </c>
      <c r="C43" s="88">
        <v>0</v>
      </c>
      <c r="D43" s="21">
        <v>0</v>
      </c>
      <c r="E43" s="16">
        <f t="shared" si="0"/>
        <v>0</v>
      </c>
      <c r="F43" s="44">
        <v>0</v>
      </c>
      <c r="G43" s="22">
        <f t="shared" si="1"/>
        <v>0</v>
      </c>
      <c r="H43" s="155">
        <v>0</v>
      </c>
      <c r="I43" s="155">
        <v>0</v>
      </c>
    </row>
    <row r="44" spans="1:9" x14ac:dyDescent="0.3">
      <c r="B44" s="26" t="s">
        <v>51</v>
      </c>
      <c r="C44" s="51">
        <f>SUM(C42+C38+C34+C30+C26+C21+C36)</f>
        <v>16247945.135037679</v>
      </c>
      <c r="D44" s="28">
        <f>SUM(D42+D38+D34+D30+D26+D21+D36)</f>
        <v>17200766.447290417</v>
      </c>
      <c r="E44" s="121">
        <f t="shared" si="0"/>
        <v>-5.5394119510461248E-2</v>
      </c>
      <c r="F44" s="49">
        <f>SUM(F42+F38+F34+F30+F26+F21+F36)</f>
        <v>14821721.959999997</v>
      </c>
      <c r="G44" s="122">
        <f t="shared" si="1"/>
        <v>9.6225201018254936E-2</v>
      </c>
      <c r="H44" s="150">
        <f t="shared" ref="H44:I44" si="12">SUM(H42+H38+H34+H30+H26+H21+H36)</f>
        <v>16689806.889999995</v>
      </c>
      <c r="I44" s="142">
        <f t="shared" si="12"/>
        <v>16718527.790000001</v>
      </c>
    </row>
    <row r="45" spans="1:9" x14ac:dyDescent="0.3">
      <c r="B45" s="74"/>
      <c r="C45" s="76"/>
      <c r="D45" s="76"/>
      <c r="E45" s="76"/>
      <c r="F45" s="76"/>
      <c r="G45" s="76"/>
      <c r="H45" s="76"/>
      <c r="I45" s="76"/>
    </row>
  </sheetData>
  <mergeCells count="3">
    <mergeCell ref="B3:B4"/>
    <mergeCell ref="B9:B10"/>
    <mergeCell ref="B19:B20"/>
  </mergeCells>
  <pageMargins left="0.511811024" right="0.511811024" top="0.78740157499999996" bottom="0.78740157499999996" header="0.31496062000000002" footer="0.31496062000000002"/>
  <ignoredErrors>
    <ignoredError sqref="F26 F30 F34:F38 C34:D38 C30:D30 C26:D26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9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30.5546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183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85" t="s">
        <v>184</v>
      </c>
      <c r="B5" s="39" t="s">
        <v>184</v>
      </c>
      <c r="C5" s="40">
        <v>16146838.25477959</v>
      </c>
      <c r="D5" s="62">
        <v>15065065.106007073</v>
      </c>
      <c r="E5" s="129">
        <f>IFERROR(C5/D5-1,0)</f>
        <v>7.1806735726695825E-2</v>
      </c>
      <c r="F5" s="42">
        <v>13917363.34</v>
      </c>
      <c r="G5" s="133">
        <f>IFERROR(C5/F5-1,0)</f>
        <v>0.16019377092583609</v>
      </c>
      <c r="H5" s="147">
        <v>11915822.739999993</v>
      </c>
      <c r="I5" s="147">
        <v>8020141.0500000007</v>
      </c>
    </row>
    <row r="6" spans="1:9" x14ac:dyDescent="0.3">
      <c r="B6" s="46" t="s">
        <v>51</v>
      </c>
      <c r="C6" s="51">
        <f>SUM(C5)</f>
        <v>16146838.25477959</v>
      </c>
      <c r="D6" s="28">
        <f>SUM(D5)</f>
        <v>15065065.106007073</v>
      </c>
      <c r="E6" s="121">
        <f t="shared" ref="E6:E22" si="0">IFERROR(C6/D6-1,0)</f>
        <v>7.1806735726695825E-2</v>
      </c>
      <c r="F6" s="49">
        <f>SUM(F5)</f>
        <v>13917363.34</v>
      </c>
      <c r="G6" s="122">
        <f t="shared" ref="G6:G21" si="1">IFERROR(C6/F6-1,0)</f>
        <v>0.16019377092583609</v>
      </c>
      <c r="H6" s="150">
        <f t="shared" ref="H6:I6" si="2">SUM(H5)</f>
        <v>11915822.739999993</v>
      </c>
      <c r="I6" s="142">
        <f t="shared" si="2"/>
        <v>8020141.0500000007</v>
      </c>
    </row>
    <row r="7" spans="1:9" x14ac:dyDescent="0.3">
      <c r="C7"/>
      <c r="D7"/>
      <c r="E7"/>
      <c r="F7"/>
      <c r="G7"/>
      <c r="H7"/>
      <c r="I7"/>
    </row>
    <row r="8" spans="1:9" x14ac:dyDescent="0.3">
      <c r="B8" s="202" t="s">
        <v>52</v>
      </c>
      <c r="C8" s="8"/>
      <c r="D8" s="8"/>
      <c r="E8" s="36"/>
      <c r="F8" s="36"/>
      <c r="G8" s="36"/>
      <c r="H8" s="8"/>
      <c r="I8" s="8"/>
    </row>
    <row r="9" spans="1:9" ht="43.2" x14ac:dyDescent="0.3">
      <c r="B9" s="203"/>
      <c r="C9" s="10" t="str">
        <f>'23-Despesas '!C$4</f>
        <v>Orçamento 2026</v>
      </c>
      <c r="D9" s="10" t="str">
        <f>'23-Despesas '!D$4</f>
        <v>Projeção 2025</v>
      </c>
      <c r="E9" s="11" t="s">
        <v>6</v>
      </c>
      <c r="F9" s="37" t="str">
        <f>'23-Despesas '!F$4</f>
        <v>Orçamento 2025</v>
      </c>
      <c r="G9" s="12" t="s">
        <v>8</v>
      </c>
      <c r="H9" s="10" t="str">
        <f>'23-Despesas '!F$4</f>
        <v>Orçamento 2025</v>
      </c>
      <c r="I9" s="10" t="str">
        <f>'23-Despesas '!G$4</f>
        <v>Variação
Orç 2026 vs Orç 2025</v>
      </c>
    </row>
    <row r="10" spans="1:9" x14ac:dyDescent="0.3">
      <c r="A10" s="115" t="s">
        <v>185</v>
      </c>
      <c r="B10" s="19" t="str">
        <f t="shared" ref="B10:B21" si="3">A10</f>
        <v>Tênis Treinador PJ</v>
      </c>
      <c r="C10" s="20">
        <v>4237800</v>
      </c>
      <c r="D10" s="118">
        <v>0</v>
      </c>
      <c r="E10" s="141">
        <f t="shared" si="0"/>
        <v>0</v>
      </c>
      <c r="F10" s="119">
        <v>0</v>
      </c>
      <c r="G10" s="22">
        <f>IFERROR(C10/F10-1,0)</f>
        <v>0</v>
      </c>
      <c r="H10" s="118">
        <v>0</v>
      </c>
      <c r="I10" s="118">
        <v>0</v>
      </c>
    </row>
    <row r="11" spans="1:9" x14ac:dyDescent="0.3">
      <c r="A11" s="115" t="s">
        <v>186</v>
      </c>
      <c r="B11" s="19" t="str">
        <f t="shared" si="3"/>
        <v>Secretaria do Tênis</v>
      </c>
      <c r="C11" s="20">
        <v>3377855.9496748303</v>
      </c>
      <c r="D11" s="118">
        <v>2838048.4283493813</v>
      </c>
      <c r="E11" s="141">
        <f t="shared" si="0"/>
        <v>0.19020377380924502</v>
      </c>
      <c r="F11" s="119">
        <v>2628661.5699999994</v>
      </c>
      <c r="G11" s="22">
        <f>IFERROR(C11/F11-1,0)</f>
        <v>0.28500982713983647</v>
      </c>
      <c r="H11" s="118">
        <v>2290771.0699999998</v>
      </c>
      <c r="I11" s="118">
        <v>2060495.4500000002</v>
      </c>
    </row>
    <row r="12" spans="1:9" x14ac:dyDescent="0.3">
      <c r="A12" s="115" t="s">
        <v>188</v>
      </c>
      <c r="B12" s="19" t="str">
        <f t="shared" si="3"/>
        <v>Tênis Aulas Coletivas</v>
      </c>
      <c r="C12" s="20">
        <v>2184000</v>
      </c>
      <c r="D12" s="118">
        <v>1947767.7356335465</v>
      </c>
      <c r="E12" s="141">
        <f t="shared" si="0"/>
        <v>0.12128359046342596</v>
      </c>
      <c r="F12" s="119">
        <v>1845000</v>
      </c>
      <c r="G12" s="22">
        <f>IFERROR(C12/F12-1,0)</f>
        <v>0.18373983739837407</v>
      </c>
      <c r="H12" s="118">
        <v>1661812.0899999999</v>
      </c>
      <c r="I12" s="118">
        <v>1588841.8099999998</v>
      </c>
    </row>
    <row r="13" spans="1:9" x14ac:dyDescent="0.3">
      <c r="A13" s="115" t="s">
        <v>187</v>
      </c>
      <c r="B13" s="19" t="str">
        <f t="shared" si="3"/>
        <v>Tênis Formação e Especialização</v>
      </c>
      <c r="C13" s="20">
        <v>2100200</v>
      </c>
      <c r="D13" s="118">
        <v>2299907.6392086665</v>
      </c>
      <c r="E13" s="141">
        <f t="shared" si="0"/>
        <v>-8.6832895288517009E-2</v>
      </c>
      <c r="F13" s="119">
        <v>2275877.0199999996</v>
      </c>
      <c r="G13" s="24">
        <f t="shared" si="1"/>
        <v>-7.7190910781286259E-2</v>
      </c>
      <c r="H13" s="118">
        <v>1849623.6199999996</v>
      </c>
      <c r="I13" s="118">
        <v>1684141.8400000003</v>
      </c>
    </row>
    <row r="14" spans="1:9" x14ac:dyDescent="0.3">
      <c r="A14" s="115" t="s">
        <v>189</v>
      </c>
      <c r="B14" s="19" t="str">
        <f t="shared" si="3"/>
        <v>Tênis Manutenção de Quadras</v>
      </c>
      <c r="C14" s="20">
        <v>1274282.305104723</v>
      </c>
      <c r="D14" s="118">
        <v>1128487.2747406969</v>
      </c>
      <c r="E14" s="141">
        <f t="shared" si="0"/>
        <v>0.12919510359346043</v>
      </c>
      <c r="F14" s="119">
        <v>1094767.6700000009</v>
      </c>
      <c r="G14" s="24">
        <f t="shared" si="1"/>
        <v>0.163975097204617</v>
      </c>
      <c r="H14" s="118">
        <v>965939.49999999977</v>
      </c>
      <c r="I14" s="118">
        <v>832746.33</v>
      </c>
    </row>
    <row r="15" spans="1:9" x14ac:dyDescent="0.3">
      <c r="A15" s="115" t="s">
        <v>190</v>
      </c>
      <c r="B15" s="19" t="str">
        <f t="shared" si="3"/>
        <v>Squash Formação e Especialização</v>
      </c>
      <c r="C15" s="20">
        <v>1006000</v>
      </c>
      <c r="D15" s="118">
        <v>709206.44285672926</v>
      </c>
      <c r="E15" s="141">
        <f t="shared" si="0"/>
        <v>0.4184868314898087</v>
      </c>
      <c r="F15" s="119">
        <v>741629.45999999973</v>
      </c>
      <c r="G15" s="22">
        <f t="shared" si="1"/>
        <v>0.35647254357991698</v>
      </c>
      <c r="H15" s="118">
        <v>568688.54000000015</v>
      </c>
      <c r="I15" s="118">
        <v>514098.00999999989</v>
      </c>
    </row>
    <row r="16" spans="1:9" x14ac:dyDescent="0.3">
      <c r="A16" s="115" t="s">
        <v>191</v>
      </c>
      <c r="B16" s="19" t="str">
        <f t="shared" si="3"/>
        <v>Tênis Jogar</v>
      </c>
      <c r="C16" s="20">
        <v>993000</v>
      </c>
      <c r="D16" s="118">
        <v>5312354.4530621357</v>
      </c>
      <c r="E16" s="141">
        <f t="shared" si="0"/>
        <v>-0.81307723180488889</v>
      </c>
      <c r="F16" s="119">
        <v>4312399.9600000009</v>
      </c>
      <c r="G16" s="24">
        <f t="shared" si="1"/>
        <v>-0.76973378879263321</v>
      </c>
      <c r="H16" s="118">
        <v>3964376.64</v>
      </c>
      <c r="I16" s="118">
        <v>790721.07000000007</v>
      </c>
    </row>
    <row r="17" spans="1:9" x14ac:dyDescent="0.3">
      <c r="A17" s="115" t="s">
        <v>192</v>
      </c>
      <c r="B17" s="19" t="str">
        <f t="shared" si="3"/>
        <v>Tênis Eventos</v>
      </c>
      <c r="C17" s="20">
        <v>554000</v>
      </c>
      <c r="D17" s="118">
        <v>373138.39038117521</v>
      </c>
      <c r="E17" s="141">
        <f t="shared" si="0"/>
        <v>0.48470383718509291</v>
      </c>
      <c r="F17" s="119">
        <v>396188.58999999997</v>
      </c>
      <c r="G17" s="22">
        <f t="shared" si="1"/>
        <v>0.39832396485724142</v>
      </c>
      <c r="H17" s="118">
        <v>201844.3</v>
      </c>
      <c r="I17" s="118">
        <v>197594.85</v>
      </c>
    </row>
    <row r="18" spans="1:9" x14ac:dyDescent="0.3">
      <c r="A18" s="115" t="s">
        <v>193</v>
      </c>
      <c r="B18" s="19" t="str">
        <f t="shared" si="3"/>
        <v>Squash Alto Rendimento</v>
      </c>
      <c r="C18" s="20">
        <v>205500</v>
      </c>
      <c r="D18" s="21">
        <v>150663.13109846436</v>
      </c>
      <c r="E18" s="16">
        <f t="shared" si="0"/>
        <v>0.3639700602378797</v>
      </c>
      <c r="F18" s="44">
        <v>195000</v>
      </c>
      <c r="G18" s="24">
        <f t="shared" si="1"/>
        <v>5.3846153846153877E-2</v>
      </c>
      <c r="H18" s="118">
        <v>121557.9</v>
      </c>
      <c r="I18" s="118">
        <v>93861.84</v>
      </c>
    </row>
    <row r="19" spans="1:9" x14ac:dyDescent="0.3">
      <c r="A19" s="115" t="s">
        <v>194</v>
      </c>
      <c r="B19" s="19" t="str">
        <f t="shared" si="3"/>
        <v>Tênis Escolinha</v>
      </c>
      <c r="C19" s="20">
        <v>189200</v>
      </c>
      <c r="D19" s="21">
        <v>159806.31693348763</v>
      </c>
      <c r="E19" s="16">
        <f t="shared" si="0"/>
        <v>0.18393317379779295</v>
      </c>
      <c r="F19" s="44">
        <v>289423.39999999997</v>
      </c>
      <c r="G19" s="24">
        <f t="shared" si="1"/>
        <v>-0.34628644401247433</v>
      </c>
      <c r="H19" s="118">
        <v>168287.55999999997</v>
      </c>
      <c r="I19" s="118">
        <v>144483.88999999998</v>
      </c>
    </row>
    <row r="20" spans="1:9" x14ac:dyDescent="0.3">
      <c r="A20" s="115" t="s">
        <v>195</v>
      </c>
      <c r="B20" s="19" t="str">
        <f t="shared" si="3"/>
        <v>Tênis Kids</v>
      </c>
      <c r="C20" s="20">
        <v>25000</v>
      </c>
      <c r="D20" s="21">
        <v>21474.71163235297</v>
      </c>
      <c r="E20" s="16">
        <f t="shared" si="0"/>
        <v>0.16415998631320239</v>
      </c>
      <c r="F20" s="44">
        <v>15000</v>
      </c>
      <c r="G20" s="22">
        <f t="shared" si="1"/>
        <v>0.66666666666666674</v>
      </c>
      <c r="H20" s="118">
        <v>8090</v>
      </c>
      <c r="I20" s="118">
        <v>3764.53</v>
      </c>
    </row>
    <row r="21" spans="1:9" x14ac:dyDescent="0.3">
      <c r="A21" s="115" t="s">
        <v>196</v>
      </c>
      <c r="B21" s="19" t="str">
        <f t="shared" si="3"/>
        <v>Auxiliares de Quadra</v>
      </c>
      <c r="C21" s="20">
        <v>0</v>
      </c>
      <c r="D21" s="21">
        <v>124210.58211044373</v>
      </c>
      <c r="E21" s="16">
        <f t="shared" si="0"/>
        <v>-1</v>
      </c>
      <c r="F21" s="44">
        <v>123415.66999999985</v>
      </c>
      <c r="G21" s="22">
        <f t="shared" si="1"/>
        <v>-1</v>
      </c>
      <c r="H21" s="118">
        <v>114831.52000000002</v>
      </c>
      <c r="I21" s="118">
        <v>109391.43000000001</v>
      </c>
    </row>
    <row r="22" spans="1:9" x14ac:dyDescent="0.3">
      <c r="B22" s="46" t="s">
        <v>51</v>
      </c>
      <c r="C22" s="51">
        <f>SUM(C10:C21)</f>
        <v>16146838.254779553</v>
      </c>
      <c r="D22" s="28">
        <f>SUM(D10:D21)</f>
        <v>15065065.106007082</v>
      </c>
      <c r="E22" s="121">
        <f t="shared" si="0"/>
        <v>7.1806735726692716E-2</v>
      </c>
      <c r="F22" s="28">
        <f>SUM(F10:F21)</f>
        <v>13917363.34</v>
      </c>
      <c r="G22" s="122">
        <f>IFERROR(C22/F22-1,0)</f>
        <v>0.16019377092583342</v>
      </c>
      <c r="H22" s="150">
        <f t="shared" ref="H22:I22" si="4">SUM(H10:H21)</f>
        <v>11915822.74</v>
      </c>
      <c r="I22" s="142">
        <f t="shared" si="4"/>
        <v>8020141.0499999989</v>
      </c>
    </row>
    <row r="23" spans="1:9" x14ac:dyDescent="0.3">
      <c r="B23" s="38"/>
      <c r="C23" s="50"/>
      <c r="D23" s="50"/>
      <c r="E23" s="50"/>
      <c r="F23" s="50"/>
      <c r="G23" s="50"/>
      <c r="H23" s="50"/>
      <c r="I23" s="50"/>
    </row>
    <row r="24" spans="1:9" x14ac:dyDescent="0.3">
      <c r="B24" s="202" t="s">
        <v>56</v>
      </c>
      <c r="C24" s="8"/>
      <c r="D24" s="8"/>
      <c r="E24" s="36"/>
      <c r="F24" s="36"/>
      <c r="G24" s="36"/>
      <c r="H24" s="8"/>
      <c r="I24" s="8"/>
    </row>
    <row r="25" spans="1:9" ht="43.2" x14ac:dyDescent="0.3">
      <c r="B25" s="203"/>
      <c r="C25" s="10" t="str">
        <f>'23-Despesas '!C$4</f>
        <v>Orçamento 2026</v>
      </c>
      <c r="D25" s="10" t="str">
        <f>'23-Despesas '!D$4</f>
        <v>Projeção 2025</v>
      </c>
      <c r="E25" s="11" t="s">
        <v>6</v>
      </c>
      <c r="F25" s="37" t="str">
        <f>'23-Despesas '!F$4</f>
        <v>Orçamento 2025</v>
      </c>
      <c r="G25" s="12" t="s">
        <v>8</v>
      </c>
      <c r="H25" s="10" t="str">
        <f>'23-Despesas '!F$4</f>
        <v>Orçamento 2025</v>
      </c>
      <c r="I25" s="10" t="str">
        <f>'23-Despesas '!G$4</f>
        <v>Variação
Orç 2026 vs Orç 2025</v>
      </c>
    </row>
    <row r="26" spans="1:9" x14ac:dyDescent="0.3">
      <c r="B26" s="39" t="s">
        <v>57</v>
      </c>
      <c r="C26" s="53">
        <f>SUM(C27:C30)</f>
        <v>4359838.2547795493</v>
      </c>
      <c r="D26" s="65">
        <f>SUM(D27:D30)</f>
        <v>3999631.6993443398</v>
      </c>
      <c r="E26" s="129">
        <f t="shared" ref="E26:E49" si="5">IFERROR(C26/D26-1,0)</f>
        <v>9.0059931141724503E-2</v>
      </c>
      <c r="F26" s="55">
        <f>SUM(F27:F30)</f>
        <v>3778507.7700000009</v>
      </c>
      <c r="G26" s="130">
        <f t="shared" ref="G26:G49" si="6">IFERROR(C26/F26-1,0)</f>
        <v>0.15385186961771113</v>
      </c>
      <c r="H26" s="151">
        <f t="shared" ref="H26:I26" si="7">SUM(H27:H30)</f>
        <v>3390842.4599999981</v>
      </c>
      <c r="I26" s="151">
        <f t="shared" si="7"/>
        <v>2964760.92</v>
      </c>
    </row>
    <row r="27" spans="1:9" x14ac:dyDescent="0.3">
      <c r="A27" t="s">
        <v>58</v>
      </c>
      <c r="B27" s="19" t="str">
        <f>A27</f>
        <v>Salários e provisões</v>
      </c>
      <c r="C27" s="20">
        <v>2510090.5483629503</v>
      </c>
      <c r="D27" s="21">
        <v>2241853.6640879354</v>
      </c>
      <c r="E27" s="16">
        <f t="shared" si="5"/>
        <v>0.11964959558774013</v>
      </c>
      <c r="F27" s="44">
        <v>2097165.5300000003</v>
      </c>
      <c r="G27" s="22">
        <f t="shared" si="6"/>
        <v>0.19689672200694153</v>
      </c>
      <c r="H27" s="118">
        <v>1890445.8699999994</v>
      </c>
      <c r="I27" s="118">
        <v>1702744.4700000002</v>
      </c>
    </row>
    <row r="28" spans="1:9" x14ac:dyDescent="0.3">
      <c r="A28" t="s">
        <v>59</v>
      </c>
      <c r="B28" s="19" t="str">
        <f>A28</f>
        <v>Encargos sociais</v>
      </c>
      <c r="C28" s="20">
        <v>891082.14466884697</v>
      </c>
      <c r="D28" s="21">
        <v>805267.56478622684</v>
      </c>
      <c r="E28" s="16">
        <f t="shared" si="5"/>
        <v>0.10656654214726902</v>
      </c>
      <c r="F28" s="44">
        <v>748838.79000000027</v>
      </c>
      <c r="G28" s="22">
        <f t="shared" si="6"/>
        <v>0.18995190496054115</v>
      </c>
      <c r="H28" s="118">
        <v>677984.55999999994</v>
      </c>
      <c r="I28" s="118">
        <v>601047.8600000001</v>
      </c>
    </row>
    <row r="29" spans="1:9" x14ac:dyDescent="0.3">
      <c r="A29" t="s">
        <v>60</v>
      </c>
      <c r="B29" s="19" t="str">
        <f>A29</f>
        <v>Benefícios</v>
      </c>
      <c r="C29" s="20">
        <v>744076.58714775182</v>
      </c>
      <c r="D29" s="21">
        <v>801919.85528687527</v>
      </c>
      <c r="E29" s="16">
        <f t="shared" si="5"/>
        <v>-7.2130983860514197E-2</v>
      </c>
      <c r="F29" s="44">
        <v>758477.29000000062</v>
      </c>
      <c r="G29" s="22">
        <f t="shared" si="6"/>
        <v>-1.8986333595101823E-2</v>
      </c>
      <c r="H29" s="118">
        <v>700323.31999999913</v>
      </c>
      <c r="I29" s="118">
        <v>566322.6399999999</v>
      </c>
    </row>
    <row r="30" spans="1:9" x14ac:dyDescent="0.3">
      <c r="A30" t="s">
        <v>61</v>
      </c>
      <c r="B30" s="19" t="str">
        <f>A30</f>
        <v>Outros</v>
      </c>
      <c r="C30" s="20">
        <v>214588.97459999996</v>
      </c>
      <c r="D30" s="21">
        <v>150590.615183302</v>
      </c>
      <c r="E30" s="16">
        <f t="shared" si="5"/>
        <v>0.42498238910039543</v>
      </c>
      <c r="F30" s="44">
        <v>174026.15999999995</v>
      </c>
      <c r="G30" s="22">
        <f t="shared" si="6"/>
        <v>0.2330845810767761</v>
      </c>
      <c r="H30" s="118">
        <v>122088.70999999998</v>
      </c>
      <c r="I30" s="118">
        <v>94645.95</v>
      </c>
    </row>
    <row r="31" spans="1:9" s="45" customFormat="1" x14ac:dyDescent="0.3">
      <c r="B31" s="39" t="s">
        <v>62</v>
      </c>
      <c r="C31" s="53">
        <f>SUM(C32:C33)</f>
        <v>8854300</v>
      </c>
      <c r="D31" s="54">
        <f>SUM(D32:D33)</f>
        <v>9031122.0107827727</v>
      </c>
      <c r="E31" s="131">
        <f t="shared" si="5"/>
        <v>-1.9579185240954033E-2</v>
      </c>
      <c r="F31" s="66">
        <f>SUM(F32:F33)</f>
        <v>7840611.6900000004</v>
      </c>
      <c r="G31" s="132">
        <f t="shared" si="6"/>
        <v>0.12928689113540326</v>
      </c>
      <c r="H31" s="151">
        <f t="shared" ref="H31:I31" si="8">SUM(H32:H33)</f>
        <v>6951349.4299999997</v>
      </c>
      <c r="I31" s="151">
        <f t="shared" si="8"/>
        <v>3647398.0199999996</v>
      </c>
    </row>
    <row r="32" spans="1:9" s="38" customFormat="1" x14ac:dyDescent="0.3">
      <c r="A32" s="85" t="s">
        <v>63</v>
      </c>
      <c r="B32" s="19" t="str">
        <f>A32</f>
        <v>Serviços contratados</v>
      </c>
      <c r="C32" s="20">
        <v>8645500</v>
      </c>
      <c r="D32" s="21">
        <v>8909963.2424208913</v>
      </c>
      <c r="E32" s="127">
        <f t="shared" si="5"/>
        <v>-2.9681743372606206E-2</v>
      </c>
      <c r="F32" s="44">
        <v>7714611.6900000004</v>
      </c>
      <c r="G32" s="128">
        <f t="shared" si="6"/>
        <v>0.12066560799251325</v>
      </c>
      <c r="H32" s="118">
        <v>6861380.8700000001</v>
      </c>
      <c r="I32" s="118">
        <v>3561598.0199999996</v>
      </c>
    </row>
    <row r="33" spans="1:9" x14ac:dyDescent="0.3">
      <c r="A33" s="85" t="s">
        <v>135</v>
      </c>
      <c r="B33" s="19" t="str">
        <f>A33</f>
        <v>Despesas com atletas</v>
      </c>
      <c r="C33" s="20">
        <v>208800</v>
      </c>
      <c r="D33" s="67">
        <v>121158.76836188092</v>
      </c>
      <c r="E33" s="124">
        <f t="shared" si="5"/>
        <v>0.7233585552499957</v>
      </c>
      <c r="F33" s="44">
        <v>126000</v>
      </c>
      <c r="G33" s="126">
        <f t="shared" si="6"/>
        <v>0.65714285714285725</v>
      </c>
      <c r="H33" s="118">
        <v>89968.559999999969</v>
      </c>
      <c r="I33" s="118">
        <v>85800</v>
      </c>
    </row>
    <row r="34" spans="1:9" x14ac:dyDescent="0.3">
      <c r="B34" s="39" t="s">
        <v>64</v>
      </c>
      <c r="C34" s="53">
        <f>SUM(C35:C37)</f>
        <v>1855700</v>
      </c>
      <c r="D34" s="65">
        <f>SUM(D35:D37)</f>
        <v>1445688.4310846995</v>
      </c>
      <c r="E34" s="131">
        <f t="shared" si="5"/>
        <v>0.28360991213554154</v>
      </c>
      <c r="F34" s="55">
        <f>SUM(F35:F37)</f>
        <v>1707174.1400000001</v>
      </c>
      <c r="G34" s="132">
        <f t="shared" si="6"/>
        <v>8.700100154984769E-2</v>
      </c>
      <c r="H34" s="151">
        <f t="shared" ref="H34:I34" si="9">SUM(H35:H37)</f>
        <v>1055636.05</v>
      </c>
      <c r="I34" s="151">
        <f t="shared" si="9"/>
        <v>1060853.5799999998</v>
      </c>
    </row>
    <row r="35" spans="1:9" x14ac:dyDescent="0.3">
      <c r="A35" t="s">
        <v>67</v>
      </c>
      <c r="B35" s="19" t="str">
        <f>A35</f>
        <v>Mercadoria de uso geral</v>
      </c>
      <c r="C35" s="20">
        <v>1348600</v>
      </c>
      <c r="D35" s="21">
        <v>1054123.7586230603</v>
      </c>
      <c r="E35" s="127">
        <f t="shared" si="5"/>
        <v>0.27935642183190779</v>
      </c>
      <c r="F35" s="44">
        <v>1286864.1400000001</v>
      </c>
      <c r="G35" s="128">
        <f t="shared" si="6"/>
        <v>4.7973875470646021E-2</v>
      </c>
      <c r="H35" s="118">
        <v>807309.45</v>
      </c>
      <c r="I35" s="118">
        <v>842667.23</v>
      </c>
    </row>
    <row r="36" spans="1:9" x14ac:dyDescent="0.3">
      <c r="A36" t="s">
        <v>66</v>
      </c>
      <c r="B36" s="19" t="str">
        <f>A36</f>
        <v>Mercadoria de revenda e consumo</v>
      </c>
      <c r="C36" s="20">
        <v>284000</v>
      </c>
      <c r="D36" s="21">
        <v>253629.93113576985</v>
      </c>
      <c r="E36" s="127">
        <f t="shared" si="5"/>
        <v>0.11974165954401039</v>
      </c>
      <c r="F36" s="44">
        <v>241010</v>
      </c>
      <c r="G36" s="128">
        <f t="shared" si="6"/>
        <v>0.1783743413136385</v>
      </c>
      <c r="H36" s="118">
        <v>147630.76999999999</v>
      </c>
      <c r="I36" s="118">
        <v>158261.21</v>
      </c>
    </row>
    <row r="37" spans="1:9" x14ac:dyDescent="0.3">
      <c r="A37" t="s">
        <v>65</v>
      </c>
      <c r="B37" s="19" t="str">
        <f>A37</f>
        <v>Material de consumo geral</v>
      </c>
      <c r="C37" s="20">
        <v>223100</v>
      </c>
      <c r="D37" s="21">
        <v>137934.74132586922</v>
      </c>
      <c r="E37" s="124">
        <f t="shared" si="5"/>
        <v>0.61743153215424407</v>
      </c>
      <c r="F37" s="44">
        <v>179300</v>
      </c>
      <c r="G37" s="126">
        <f t="shared" si="6"/>
        <v>0.24428332403792519</v>
      </c>
      <c r="H37" s="118">
        <v>100695.83</v>
      </c>
      <c r="I37" s="118">
        <v>59925.140000000007</v>
      </c>
    </row>
    <row r="38" spans="1:9" s="45" customFormat="1" hidden="1" x14ac:dyDescent="0.3">
      <c r="B38" s="39" t="s">
        <v>68</v>
      </c>
      <c r="C38" s="14"/>
      <c r="D38" s="15"/>
      <c r="E38" s="16">
        <f t="shared" si="5"/>
        <v>0</v>
      </c>
      <c r="F38" s="86"/>
      <c r="G38" s="22">
        <f t="shared" si="6"/>
        <v>0</v>
      </c>
      <c r="H38" s="153"/>
      <c r="I38" s="153"/>
    </row>
    <row r="39" spans="1:9" hidden="1" x14ac:dyDescent="0.3">
      <c r="B39" s="56" t="s">
        <v>68</v>
      </c>
      <c r="C39" s="57"/>
      <c r="D39" s="67"/>
      <c r="E39" s="16">
        <f t="shared" si="5"/>
        <v>0</v>
      </c>
      <c r="F39" s="59"/>
      <c r="G39" s="22">
        <f t="shared" si="6"/>
        <v>0</v>
      </c>
      <c r="H39" s="152"/>
      <c r="I39" s="152"/>
    </row>
    <row r="40" spans="1:9" hidden="1" x14ac:dyDescent="0.3">
      <c r="B40" s="39" t="s">
        <v>69</v>
      </c>
      <c r="C40" s="53">
        <f>SUM(C41:C42)</f>
        <v>0</v>
      </c>
      <c r="D40" s="65">
        <f>SUM(D41:D42)</f>
        <v>0</v>
      </c>
      <c r="E40" s="16">
        <f t="shared" si="5"/>
        <v>0</v>
      </c>
      <c r="F40" s="55">
        <f>SUM(F41:F42)</f>
        <v>0</v>
      </c>
      <c r="G40" s="22">
        <f t="shared" si="6"/>
        <v>0</v>
      </c>
      <c r="H40" s="151">
        <f t="shared" ref="H40:I40" si="10">SUM(H41:H42)</f>
        <v>0</v>
      </c>
      <c r="I40" s="151">
        <f t="shared" si="10"/>
        <v>0</v>
      </c>
    </row>
    <row r="41" spans="1:9" hidden="1" x14ac:dyDescent="0.3">
      <c r="B41" s="19" t="s">
        <v>81</v>
      </c>
      <c r="C41" s="20"/>
      <c r="D41" s="21"/>
      <c r="E41" s="16">
        <f t="shared" si="5"/>
        <v>0</v>
      </c>
      <c r="F41" s="44"/>
      <c r="G41" s="22">
        <f t="shared" si="6"/>
        <v>0</v>
      </c>
      <c r="H41" s="118"/>
      <c r="I41" s="118"/>
    </row>
    <row r="42" spans="1:9" hidden="1" x14ac:dyDescent="0.3">
      <c r="B42" s="19" t="s">
        <v>70</v>
      </c>
      <c r="C42" s="20"/>
      <c r="D42" s="21"/>
      <c r="E42" s="16">
        <f t="shared" si="5"/>
        <v>0</v>
      </c>
      <c r="F42" s="44"/>
      <c r="G42" s="22">
        <f t="shared" si="6"/>
        <v>0</v>
      </c>
      <c r="H42" s="118"/>
      <c r="I42" s="118"/>
    </row>
    <row r="43" spans="1:9" x14ac:dyDescent="0.3">
      <c r="B43" s="39" t="s">
        <v>71</v>
      </c>
      <c r="C43" s="53">
        <f>SUM(C44:C46)</f>
        <v>1077000</v>
      </c>
      <c r="D43" s="65">
        <f>SUM(D44:D46)</f>
        <v>588622.96479526418</v>
      </c>
      <c r="E43" s="129">
        <f t="shared" si="5"/>
        <v>0.82969415808403579</v>
      </c>
      <c r="F43" s="55">
        <f>SUM(F44:F46)</f>
        <v>591069.74</v>
      </c>
      <c r="G43" s="130">
        <f t="shared" si="6"/>
        <v>0.82212000905341553</v>
      </c>
      <c r="H43" s="151">
        <f t="shared" ref="H43:I43" si="11">SUM(H44:H46)</f>
        <v>517994.80000000005</v>
      </c>
      <c r="I43" s="151">
        <f t="shared" si="11"/>
        <v>347128.53</v>
      </c>
    </row>
    <row r="44" spans="1:9" x14ac:dyDescent="0.3">
      <c r="A44" s="85" t="s">
        <v>72</v>
      </c>
      <c r="B44" s="19" t="str">
        <f>A44</f>
        <v>Locomoções gerais - viagens - estadias</v>
      </c>
      <c r="C44" s="20">
        <v>1036000</v>
      </c>
      <c r="D44" s="21">
        <v>551729.07875369454</v>
      </c>
      <c r="E44" s="16">
        <f t="shared" si="5"/>
        <v>0.87773318444666559</v>
      </c>
      <c r="F44" s="44">
        <v>556682</v>
      </c>
      <c r="G44" s="22">
        <f t="shared" si="6"/>
        <v>0.86102658250132036</v>
      </c>
      <c r="H44" s="118">
        <v>502848.73000000004</v>
      </c>
      <c r="I44" s="118">
        <v>329813.29000000004</v>
      </c>
    </row>
    <row r="45" spans="1:9" x14ac:dyDescent="0.3">
      <c r="A45" s="85" t="s">
        <v>73</v>
      </c>
      <c r="B45" s="19" t="str">
        <f>A45</f>
        <v>Outros gastos gerais</v>
      </c>
      <c r="C45" s="20">
        <v>41000</v>
      </c>
      <c r="D45" s="21">
        <v>36833.046041569702</v>
      </c>
      <c r="E45" s="16">
        <f t="shared" si="5"/>
        <v>0.11313085411745427</v>
      </c>
      <c r="F45" s="44">
        <v>34387.740000000005</v>
      </c>
      <c r="G45" s="22">
        <f t="shared" si="6"/>
        <v>0.19228539008379131</v>
      </c>
      <c r="H45" s="118">
        <v>15146.07</v>
      </c>
      <c r="I45" s="118">
        <v>17291.509999999998</v>
      </c>
    </row>
    <row r="46" spans="1:9" x14ac:dyDescent="0.3">
      <c r="A46" s="85" t="s">
        <v>82</v>
      </c>
      <c r="B46" s="56" t="str">
        <f>A46</f>
        <v>Despesas financeiras</v>
      </c>
      <c r="C46" s="20">
        <v>0</v>
      </c>
      <c r="D46" s="21">
        <v>60.840000000000146</v>
      </c>
      <c r="E46" s="16">
        <f t="shared" si="5"/>
        <v>-1</v>
      </c>
      <c r="F46" s="59">
        <v>0</v>
      </c>
      <c r="G46" s="22">
        <f t="shared" si="6"/>
        <v>0</v>
      </c>
      <c r="H46" s="118">
        <v>0</v>
      </c>
      <c r="I46" s="118">
        <v>23.73</v>
      </c>
    </row>
    <row r="47" spans="1:9" hidden="1" x14ac:dyDescent="0.3">
      <c r="B47" s="39" t="s">
        <v>83</v>
      </c>
      <c r="C47" s="53">
        <f>SUM(C48)</f>
        <v>58</v>
      </c>
      <c r="D47" s="65">
        <f>SUM(D48)</f>
        <v>0</v>
      </c>
      <c r="E47" s="16">
        <f t="shared" si="5"/>
        <v>0</v>
      </c>
      <c r="F47" s="55">
        <f>SUM(F48)</f>
        <v>0</v>
      </c>
      <c r="G47" s="22">
        <f t="shared" si="6"/>
        <v>0</v>
      </c>
      <c r="H47" s="151">
        <f t="shared" ref="H47:I47" si="12">SUM(H48)</f>
        <v>0</v>
      </c>
      <c r="I47" s="151">
        <f t="shared" si="12"/>
        <v>0</v>
      </c>
    </row>
    <row r="48" spans="1:9" hidden="1" x14ac:dyDescent="0.3">
      <c r="A48" t="s">
        <v>83</v>
      </c>
      <c r="B48" s="19" t="str">
        <f>A48</f>
        <v>Tributários fiscais e taxas</v>
      </c>
      <c r="C48" s="20">
        <v>58</v>
      </c>
      <c r="D48" s="21">
        <v>0</v>
      </c>
      <c r="E48" s="16">
        <f t="shared" si="5"/>
        <v>0</v>
      </c>
      <c r="F48" s="44">
        <v>0</v>
      </c>
      <c r="G48" s="22">
        <f t="shared" si="6"/>
        <v>0</v>
      </c>
      <c r="H48" s="118">
        <v>0</v>
      </c>
      <c r="I48" s="118">
        <v>0</v>
      </c>
    </row>
    <row r="49" spans="2:9" x14ac:dyDescent="0.3">
      <c r="B49" s="26" t="s">
        <v>51</v>
      </c>
      <c r="C49" s="51">
        <f>SUM(C47+C43+C40+C34+C31+C26+C38)</f>
        <v>16146896.254779549</v>
      </c>
      <c r="D49" s="28">
        <f>SUM(D47+D43+D40+D34+D31+D26+D38)</f>
        <v>15065065.106007077</v>
      </c>
      <c r="E49" s="121">
        <f t="shared" si="5"/>
        <v>7.1810585693459883E-2</v>
      </c>
      <c r="F49" s="49">
        <f>SUM(F47+F43+F40+F34+F31+F26+F38)</f>
        <v>13917363.340000002</v>
      </c>
      <c r="G49" s="122">
        <f t="shared" si="6"/>
        <v>0.16019793838187946</v>
      </c>
      <c r="H49" s="150">
        <f t="shared" ref="H49:I49" si="13">SUM(H47+H43+H40+H34+H31+H26+H38)</f>
        <v>11915822.739999998</v>
      </c>
      <c r="I49" s="142">
        <f t="shared" si="13"/>
        <v>8020141.0499999989</v>
      </c>
    </row>
  </sheetData>
  <mergeCells count="3">
    <mergeCell ref="B3:B4"/>
    <mergeCell ref="B8:B9"/>
    <mergeCell ref="B24:B25"/>
  </mergeCells>
  <pageMargins left="0.511811024" right="0.511811024" top="0.78740157499999996" bottom="0.78740157499999996" header="0.31496062000000002" footer="0.31496062000000002"/>
  <ignoredErrors>
    <ignoredError sqref="F31 F34 C34:D34 C31:D31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5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23.1093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198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Financeira</v>
      </c>
      <c r="B5" s="39" t="s">
        <v>199</v>
      </c>
      <c r="C5" s="40">
        <v>11768485.930946684</v>
      </c>
      <c r="D5" s="62">
        <v>10684313.216973893</v>
      </c>
      <c r="E5" s="129">
        <f>IFERROR(C5/D5-1,0)</f>
        <v>0.10147331812122395</v>
      </c>
      <c r="F5" s="42">
        <v>10724074.489999993</v>
      </c>
      <c r="G5" s="133">
        <f>IFERROR(C5/F5-1,0)</f>
        <v>9.7389424320073914E-2</v>
      </c>
      <c r="H5" s="147">
        <v>10088011.700000009</v>
      </c>
      <c r="I5" s="147">
        <v>9081179.8400000036</v>
      </c>
    </row>
    <row r="6" spans="1:9" s="38" customFormat="1" x14ac:dyDescent="0.3">
      <c r="A6" s="38" t="str">
        <f>B6</f>
        <v>Suprimentos</v>
      </c>
      <c r="B6" s="19" t="s">
        <v>200</v>
      </c>
      <c r="C6" s="20">
        <v>4666333.2542828694</v>
      </c>
      <c r="D6" s="21">
        <v>4709470.1532488074</v>
      </c>
      <c r="E6" s="16">
        <f t="shared" ref="E6:E44" si="0">IFERROR(C6/D6-1,0)</f>
        <v>-9.1596076760737111E-3</v>
      </c>
      <c r="F6" s="70">
        <v>4908318.280000004</v>
      </c>
      <c r="G6" s="22">
        <f t="shared" ref="G6:G20" si="1">IFERROR(C6/F6-1,0)</f>
        <v>-4.9301005336828796E-2</v>
      </c>
      <c r="H6" s="118">
        <v>4383905.0100000044</v>
      </c>
      <c r="I6" s="118">
        <v>4192332.59</v>
      </c>
    </row>
    <row r="7" spans="1:9" x14ac:dyDescent="0.3">
      <c r="B7" s="46" t="s">
        <v>51</v>
      </c>
      <c r="C7" s="51">
        <f>SUM(C5:C6)</f>
        <v>16434819.185229553</v>
      </c>
      <c r="D7" s="28">
        <f>SUM(D5:D6)</f>
        <v>15393783.370222701</v>
      </c>
      <c r="E7" s="121">
        <f t="shared" si="0"/>
        <v>6.7627027740341017E-2</v>
      </c>
      <c r="F7" s="49">
        <f>SUM(F5:F6)</f>
        <v>15632392.769999996</v>
      </c>
      <c r="G7" s="122">
        <f t="shared" si="1"/>
        <v>5.1331003963096977E-2</v>
      </c>
      <c r="H7" s="150">
        <f t="shared" ref="H7:I7" si="2">SUM(H5:H6)</f>
        <v>14471916.710000012</v>
      </c>
      <c r="I7" s="142">
        <f t="shared" si="2"/>
        <v>13273512.430000003</v>
      </c>
    </row>
    <row r="8" spans="1:9" x14ac:dyDescent="0.3">
      <c r="B8" s="38"/>
      <c r="C8" s="50"/>
      <c r="D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tr">
        <f>'23-Despesas '!F$4</f>
        <v>Orçamento 2025</v>
      </c>
      <c r="I10" s="10" t="str">
        <f>'23-Despesas '!G$4</f>
        <v>Variação
Orç 2026 vs Orç 2025</v>
      </c>
    </row>
    <row r="11" spans="1:9" x14ac:dyDescent="0.3">
      <c r="A11" s="115" t="s">
        <v>201</v>
      </c>
      <c r="B11" s="19" t="str">
        <f>A11</f>
        <v>Tesouraria</v>
      </c>
      <c r="C11" s="20">
        <v>3852338.7341340533</v>
      </c>
      <c r="D11" s="21">
        <v>3403531.3492320161</v>
      </c>
      <c r="E11" s="16">
        <f t="shared" si="0"/>
        <v>0.13186521258377937</v>
      </c>
      <c r="F11" s="44">
        <v>3375291.8999999985</v>
      </c>
      <c r="G11" s="22">
        <f>IFERROR(C11/F11-1,0)</f>
        <v>0.14133498620787588</v>
      </c>
      <c r="H11" s="118">
        <v>3176519.8999999971</v>
      </c>
      <c r="I11" s="118">
        <v>2732993.21</v>
      </c>
    </row>
    <row r="12" spans="1:9" x14ac:dyDescent="0.3">
      <c r="A12" s="115" t="s">
        <v>202</v>
      </c>
      <c r="B12" s="19" t="str">
        <f t="shared" ref="B12:B19" si="3">A12</f>
        <v>Contabilidade</v>
      </c>
      <c r="C12" s="20">
        <v>2357225.333121981</v>
      </c>
      <c r="D12" s="118">
        <v>2313553.5161826969</v>
      </c>
      <c r="E12" s="141">
        <f t="shared" si="0"/>
        <v>1.8876510369788768E-2</v>
      </c>
      <c r="F12" s="119">
        <v>2317583.9299999983</v>
      </c>
      <c r="G12" s="22">
        <f>IFERROR(C12/F12-1,0)</f>
        <v>1.7104624608776486E-2</v>
      </c>
      <c r="H12" s="118">
        <v>2254884.9900000007</v>
      </c>
      <c r="I12" s="118">
        <v>1885765.9200000002</v>
      </c>
    </row>
    <row r="13" spans="1:9" x14ac:dyDescent="0.3">
      <c r="A13" s="115" t="s">
        <v>203</v>
      </c>
      <c r="B13" s="19" t="str">
        <f t="shared" si="3"/>
        <v>Supervisão de Caixa</v>
      </c>
      <c r="C13" s="20">
        <v>1351287.0270945907</v>
      </c>
      <c r="D13" s="118">
        <v>1358184.0692152868</v>
      </c>
      <c r="E13" s="141">
        <f t="shared" si="0"/>
        <v>-5.0781350459226937E-3</v>
      </c>
      <c r="F13" s="119">
        <v>1402763.7299999995</v>
      </c>
      <c r="G13" s="24">
        <f t="shared" si="1"/>
        <v>-3.6696630946830067E-2</v>
      </c>
      <c r="H13" s="118">
        <v>1320833.42</v>
      </c>
      <c r="I13" s="118">
        <v>1216121.6599999999</v>
      </c>
    </row>
    <row r="14" spans="1:9" x14ac:dyDescent="0.3">
      <c r="A14" s="115" t="s">
        <v>204</v>
      </c>
      <c r="B14" s="19" t="str">
        <f t="shared" si="3"/>
        <v>Contas a Receber</v>
      </c>
      <c r="C14" s="20">
        <v>1104131.9800418711</v>
      </c>
      <c r="D14" s="118">
        <v>1212136.4501159547</v>
      </c>
      <c r="E14" s="141">
        <f t="shared" si="0"/>
        <v>-8.9102567671941357E-2</v>
      </c>
      <c r="F14" s="119">
        <v>1193329.6499999994</v>
      </c>
      <c r="G14" s="24">
        <f t="shared" si="1"/>
        <v>-7.4746881516040808E-2</v>
      </c>
      <c r="H14" s="118">
        <v>1048159.6800000003</v>
      </c>
      <c r="I14" s="118">
        <v>1105979.5499999998</v>
      </c>
    </row>
    <row r="15" spans="1:9" x14ac:dyDescent="0.3">
      <c r="A15" s="115" t="s">
        <v>205</v>
      </c>
      <c r="B15" s="19" t="str">
        <f t="shared" si="3"/>
        <v>Controladoria</v>
      </c>
      <c r="C15" s="20">
        <v>960317.24542085826</v>
      </c>
      <c r="D15" s="118">
        <v>1231279.657657396</v>
      </c>
      <c r="E15" s="141">
        <f t="shared" si="0"/>
        <v>-0.22006569389123554</v>
      </c>
      <c r="F15" s="119">
        <v>1196372.7200000004</v>
      </c>
      <c r="G15" s="22">
        <f t="shared" si="1"/>
        <v>-0.19730930890763043</v>
      </c>
      <c r="H15" s="118">
        <v>1132097.47</v>
      </c>
      <c r="I15" s="118">
        <v>1125292.5899999999</v>
      </c>
    </row>
    <row r="16" spans="1:9" x14ac:dyDescent="0.3">
      <c r="A16" s="115" t="s">
        <v>206</v>
      </c>
      <c r="B16" s="19" t="str">
        <f t="shared" si="3"/>
        <v>Projetos Esportivos Incentivados</v>
      </c>
      <c r="C16" s="20">
        <v>710438.33954396099</v>
      </c>
      <c r="D16" s="118">
        <v>704287.81100851553</v>
      </c>
      <c r="E16" s="141">
        <f t="shared" si="0"/>
        <v>8.7329759784400274E-3</v>
      </c>
      <c r="F16" s="119">
        <v>745973.04000000039</v>
      </c>
      <c r="G16" s="24">
        <f t="shared" si="1"/>
        <v>-4.763536823802561E-2</v>
      </c>
      <c r="H16" s="118">
        <v>693419.28</v>
      </c>
      <c r="I16" s="118">
        <v>650990.00999999989</v>
      </c>
    </row>
    <row r="17" spans="1:9" x14ac:dyDescent="0.3">
      <c r="A17" s="115" t="s">
        <v>207</v>
      </c>
      <c r="B17" s="19" t="str">
        <f t="shared" si="3"/>
        <v>Administração de Contratos</v>
      </c>
      <c r="C17" s="20">
        <v>613675.76065821503</v>
      </c>
      <c r="D17" s="118">
        <v>0</v>
      </c>
      <c r="E17" s="141">
        <f t="shared" si="0"/>
        <v>0</v>
      </c>
      <c r="F17" s="119">
        <v>0</v>
      </c>
      <c r="G17" s="22">
        <f t="shared" si="1"/>
        <v>0</v>
      </c>
      <c r="H17" s="118">
        <v>0</v>
      </c>
      <c r="I17" s="118">
        <v>0</v>
      </c>
    </row>
    <row r="18" spans="1:9" x14ac:dyDescent="0.3">
      <c r="A18" s="115" t="s">
        <v>208</v>
      </c>
      <c r="B18" s="19" t="str">
        <f t="shared" si="3"/>
        <v>Controle de Ativos</v>
      </c>
      <c r="C18" s="20">
        <v>416854.08917283494</v>
      </c>
      <c r="D18" s="118">
        <v>461340.36356203014</v>
      </c>
      <c r="E18" s="141">
        <f t="shared" si="0"/>
        <v>-9.6428316060867991E-2</v>
      </c>
      <c r="F18" s="119">
        <v>492759.5199999999</v>
      </c>
      <c r="G18" s="24">
        <f t="shared" si="1"/>
        <v>-0.15404153090165562</v>
      </c>
      <c r="H18" s="118">
        <v>462096.96000000008</v>
      </c>
      <c r="I18" s="118">
        <v>364036.9</v>
      </c>
    </row>
    <row r="19" spans="1:9" x14ac:dyDescent="0.3">
      <c r="A19" s="115" t="s">
        <v>209</v>
      </c>
      <c r="B19" s="19" t="str">
        <f t="shared" si="3"/>
        <v>Escrita Fiscal</v>
      </c>
      <c r="C19" s="20">
        <v>402217.42175828904</v>
      </c>
      <c r="D19" s="118">
        <v>0</v>
      </c>
      <c r="E19" s="141">
        <f t="shared" si="0"/>
        <v>0</v>
      </c>
      <c r="F19" s="119">
        <v>0</v>
      </c>
      <c r="G19" s="24">
        <f t="shared" si="1"/>
        <v>0</v>
      </c>
      <c r="H19" s="118">
        <v>0</v>
      </c>
      <c r="I19" s="118">
        <v>0</v>
      </c>
    </row>
    <row r="20" spans="1:9" x14ac:dyDescent="0.3">
      <c r="B20" s="46" t="s">
        <v>51</v>
      </c>
      <c r="C20" s="51">
        <f>SUM(C11:C19)</f>
        <v>11768485.930946654</v>
      </c>
      <c r="D20" s="28">
        <f>SUM(D11:D19)</f>
        <v>10684313.216973895</v>
      </c>
      <c r="E20" s="121">
        <f t="shared" si="0"/>
        <v>0.10147331812122107</v>
      </c>
      <c r="F20" s="28">
        <f>SUM(F11:F19)</f>
        <v>10724074.489999996</v>
      </c>
      <c r="G20" s="122">
        <f t="shared" si="1"/>
        <v>9.7389424320070805E-2</v>
      </c>
      <c r="H20" s="150">
        <f t="shared" ref="H20:I20" si="4">SUM(H11:H19)</f>
        <v>10088011.699999999</v>
      </c>
      <c r="I20" s="142">
        <f t="shared" si="4"/>
        <v>9081179.8399999999</v>
      </c>
    </row>
    <row r="21" spans="1:9" x14ac:dyDescent="0.3">
      <c r="B21" s="38"/>
      <c r="C21" s="50"/>
      <c r="D21" s="50"/>
      <c r="H21" s="50"/>
      <c r="I21" s="50"/>
    </row>
    <row r="22" spans="1:9" x14ac:dyDescent="0.3">
      <c r="B22" s="202" t="s">
        <v>56</v>
      </c>
      <c r="C22" s="8"/>
      <c r="D22" s="8"/>
      <c r="E22" s="36"/>
      <c r="F22" s="36"/>
      <c r="G22" s="36"/>
      <c r="H22" s="8"/>
      <c r="I22" s="8"/>
    </row>
    <row r="23" spans="1:9" ht="43.2" x14ac:dyDescent="0.3">
      <c r="B23" s="203"/>
      <c r="C23" s="10" t="str">
        <f>'23-Despesas '!C$4</f>
        <v>Orçamento 2026</v>
      </c>
      <c r="D23" s="10" t="str">
        <f>'23-Despesas '!D$4</f>
        <v>Projeção 2025</v>
      </c>
      <c r="E23" s="11" t="s">
        <v>6</v>
      </c>
      <c r="F23" s="37" t="str">
        <f>'23-Despesas '!F$4</f>
        <v>Orçamento 2025</v>
      </c>
      <c r="G23" s="12" t="s">
        <v>8</v>
      </c>
      <c r="H23" s="10" t="str">
        <f>'23-Despesas '!F$4</f>
        <v>Orçamento 2025</v>
      </c>
      <c r="I23" s="10" t="str">
        <f>'23-Despesas '!G$4</f>
        <v>Variação
Orç 2026 vs Orç 2025</v>
      </c>
    </row>
    <row r="24" spans="1:9" x14ac:dyDescent="0.3">
      <c r="B24" s="39" t="s">
        <v>57</v>
      </c>
      <c r="C24" s="53">
        <f>SUM(C25:C27)</f>
        <v>7483405.050946652</v>
      </c>
      <c r="D24" s="65">
        <f>SUM(D25:D27)</f>
        <v>6831585.9064341132</v>
      </c>
      <c r="E24" s="129">
        <f t="shared" si="0"/>
        <v>9.5412566487474537E-2</v>
      </c>
      <c r="F24" s="55">
        <f>SUM(F25:F27)</f>
        <v>6883638.950000002</v>
      </c>
      <c r="G24" s="138">
        <f t="shared" ref="G24:G44" si="5">IFERROR(C24/F24-1,0)</f>
        <v>8.7129221230676235E-2</v>
      </c>
      <c r="H24" s="151">
        <f t="shared" ref="H24:I24" si="6">SUM(H25:H27)</f>
        <v>6568387.4599999972</v>
      </c>
      <c r="I24" s="151">
        <f t="shared" si="6"/>
        <v>6214594.0099999998</v>
      </c>
    </row>
    <row r="25" spans="1:9" x14ac:dyDescent="0.3">
      <c r="A25" s="85" t="s">
        <v>58</v>
      </c>
      <c r="B25" s="19" t="str">
        <f>A25</f>
        <v>Salários e provisões</v>
      </c>
      <c r="C25" s="20">
        <v>4883912.5331605216</v>
      </c>
      <c r="D25" s="21">
        <v>4500506.387320416</v>
      </c>
      <c r="E25" s="16">
        <f t="shared" si="0"/>
        <v>8.5191779067418372E-2</v>
      </c>
      <c r="F25" s="44">
        <v>4512141.4400000013</v>
      </c>
      <c r="G25" s="24">
        <f t="shared" si="5"/>
        <v>8.2393492780341582E-2</v>
      </c>
      <c r="H25" s="118">
        <v>4352024.9499999974</v>
      </c>
      <c r="I25" s="118">
        <v>4139074.24</v>
      </c>
    </row>
    <row r="26" spans="1:9" x14ac:dyDescent="0.3">
      <c r="A26" s="85" t="s">
        <v>59</v>
      </c>
      <c r="B26" s="19" t="str">
        <f>A26</f>
        <v>Encargos sociais</v>
      </c>
      <c r="C26" s="20">
        <v>1733788.9492719888</v>
      </c>
      <c r="D26" s="21">
        <v>1602099.8079301387</v>
      </c>
      <c r="E26" s="16">
        <f t="shared" si="0"/>
        <v>8.2197838542898527E-2</v>
      </c>
      <c r="F26" s="44">
        <v>1596540.0199999996</v>
      </c>
      <c r="G26" s="24">
        <f t="shared" si="5"/>
        <v>8.5966482238252429E-2</v>
      </c>
      <c r="H26" s="118">
        <v>1546749.42</v>
      </c>
      <c r="I26" s="118">
        <v>1479836.1499999997</v>
      </c>
    </row>
    <row r="27" spans="1:9" x14ac:dyDescent="0.3">
      <c r="A27" s="85" t="s">
        <v>60</v>
      </c>
      <c r="B27" s="19" t="str">
        <f>A27</f>
        <v>Benefícios</v>
      </c>
      <c r="C27" s="20">
        <v>865703.5685141416</v>
      </c>
      <c r="D27" s="21">
        <v>728979.71118355833</v>
      </c>
      <c r="E27" s="16">
        <f t="shared" si="0"/>
        <v>0.18755509273173177</v>
      </c>
      <c r="F27" s="44">
        <v>774957.49000000081</v>
      </c>
      <c r="G27" s="24">
        <f t="shared" si="5"/>
        <v>0.11709813723348961</v>
      </c>
      <c r="H27" s="118">
        <v>669613.08999999973</v>
      </c>
      <c r="I27" s="118">
        <v>595683.62</v>
      </c>
    </row>
    <row r="28" spans="1:9" x14ac:dyDescent="0.3">
      <c r="B28" s="39" t="s">
        <v>62</v>
      </c>
      <c r="C28" s="53">
        <f>SUM(C29:C29)</f>
        <v>727131.87999999989</v>
      </c>
      <c r="D28" s="65">
        <f>SUM(D29:D29)</f>
        <v>505661.0133480276</v>
      </c>
      <c r="E28" s="131">
        <f t="shared" si="0"/>
        <v>0.43798287945039216</v>
      </c>
      <c r="F28" s="55">
        <f>SUM(F29:F29)</f>
        <v>572665.49</v>
      </c>
      <c r="G28" s="137">
        <f t="shared" si="5"/>
        <v>0.26973231790167751</v>
      </c>
      <c r="H28" s="151">
        <f t="shared" ref="H28:I28" si="7">SUM(H29:H29)</f>
        <v>494900.5399999998</v>
      </c>
      <c r="I28" s="151">
        <f t="shared" si="7"/>
        <v>467039</v>
      </c>
    </row>
    <row r="29" spans="1:9" s="38" customFormat="1" x14ac:dyDescent="0.3">
      <c r="A29" s="85" t="s">
        <v>63</v>
      </c>
      <c r="B29" s="19" t="str">
        <f>A29</f>
        <v>Serviços contratados</v>
      </c>
      <c r="C29" s="20">
        <v>727131.87999999989</v>
      </c>
      <c r="D29" s="21">
        <v>505661.0133480276</v>
      </c>
      <c r="E29" s="124">
        <f t="shared" si="0"/>
        <v>0.43798287945039216</v>
      </c>
      <c r="F29" s="44">
        <v>572665.49</v>
      </c>
      <c r="G29" s="135">
        <f t="shared" si="5"/>
        <v>0.26973231790167751</v>
      </c>
      <c r="H29" s="118">
        <v>494900.5399999998</v>
      </c>
      <c r="I29" s="118">
        <v>467039</v>
      </c>
    </row>
    <row r="30" spans="1:9" x14ac:dyDescent="0.3">
      <c r="B30" s="39" t="s">
        <v>64</v>
      </c>
      <c r="C30" s="53">
        <f>SUM(C31:C33)</f>
        <v>67733</v>
      </c>
      <c r="D30" s="65">
        <f>SUM(D31:D33)</f>
        <v>59119.237399816135</v>
      </c>
      <c r="E30" s="129">
        <f t="shared" si="0"/>
        <v>0.14570151745919935</v>
      </c>
      <c r="F30" s="55">
        <f>SUM(F31:F33)</f>
        <v>65924.36</v>
      </c>
      <c r="G30" s="138">
        <f t="shared" si="5"/>
        <v>2.7435078626474318E-2</v>
      </c>
      <c r="H30" s="151">
        <f t="shared" ref="H30:I30" si="8">SUM(H31:H33)</f>
        <v>46890.229999999996</v>
      </c>
      <c r="I30" s="151">
        <f t="shared" si="8"/>
        <v>42106.05</v>
      </c>
    </row>
    <row r="31" spans="1:9" x14ac:dyDescent="0.3">
      <c r="A31" s="85" t="s">
        <v>65</v>
      </c>
      <c r="B31" s="19" t="str">
        <f>A31</f>
        <v>Material de consumo geral</v>
      </c>
      <c r="C31" s="20">
        <v>37841</v>
      </c>
      <c r="D31" s="21">
        <v>34997.595678420679</v>
      </c>
      <c r="E31" s="16">
        <f t="shared" si="0"/>
        <v>8.1245704639434591E-2</v>
      </c>
      <c r="F31" s="44">
        <v>40464.92</v>
      </c>
      <c r="G31" s="24">
        <f t="shared" si="5"/>
        <v>-6.4844314532192304E-2</v>
      </c>
      <c r="H31" s="118">
        <v>34010.909999999996</v>
      </c>
      <c r="I31" s="118">
        <v>30467.260000000002</v>
      </c>
    </row>
    <row r="32" spans="1:9" x14ac:dyDescent="0.3">
      <c r="A32" s="85" t="s">
        <v>66</v>
      </c>
      <c r="B32" s="19" t="str">
        <f>A32</f>
        <v>Mercadoria de revenda e consumo</v>
      </c>
      <c r="C32" s="20">
        <v>15522</v>
      </c>
      <c r="D32" s="21">
        <v>15661.953012705766</v>
      </c>
      <c r="E32" s="16">
        <f t="shared" si="0"/>
        <v>-8.9358595695075982E-3</v>
      </c>
      <c r="F32" s="44">
        <v>11944.440000000002</v>
      </c>
      <c r="G32" s="24">
        <f t="shared" si="5"/>
        <v>0.29951676261088811</v>
      </c>
      <c r="H32" s="118">
        <v>11309.519999999999</v>
      </c>
      <c r="I32" s="118">
        <v>9190.8000000000011</v>
      </c>
    </row>
    <row r="33" spans="1:9" x14ac:dyDescent="0.3">
      <c r="A33" s="85" t="s">
        <v>67</v>
      </c>
      <c r="B33" s="56" t="str">
        <f>A33</f>
        <v>Mercadoria de uso geral</v>
      </c>
      <c r="C33" s="20">
        <v>14370</v>
      </c>
      <c r="D33" s="67">
        <v>8459.6887086896859</v>
      </c>
      <c r="E33" s="16">
        <f t="shared" si="0"/>
        <v>0.69864406301845561</v>
      </c>
      <c r="F33" s="59">
        <v>13515</v>
      </c>
      <c r="G33" s="24">
        <f t="shared" si="5"/>
        <v>6.3263041065482861E-2</v>
      </c>
      <c r="H33" s="118">
        <v>1569.8</v>
      </c>
      <c r="I33" s="118">
        <v>2447.9899999999998</v>
      </c>
    </row>
    <row r="34" spans="1:9" s="45" customFormat="1" hidden="1" x14ac:dyDescent="0.3">
      <c r="B34" s="61" t="s">
        <v>68</v>
      </c>
      <c r="C34" s="40">
        <f>SUM(C35)</f>
        <v>0</v>
      </c>
      <c r="D34" s="62">
        <f>SUM(D35)</f>
        <v>0</v>
      </c>
      <c r="E34" s="16">
        <f t="shared" si="0"/>
        <v>0</v>
      </c>
      <c r="F34" s="63">
        <f>SUM(F35)</f>
        <v>0</v>
      </c>
      <c r="G34" s="24">
        <f t="shared" si="5"/>
        <v>0</v>
      </c>
      <c r="H34" s="147">
        <f t="shared" ref="H34:I34" si="9">SUM(H35)</f>
        <v>0</v>
      </c>
      <c r="I34" s="147">
        <f t="shared" si="9"/>
        <v>0</v>
      </c>
    </row>
    <row r="35" spans="1:9" s="38" customFormat="1" hidden="1" x14ac:dyDescent="0.3">
      <c r="B35" s="19" t="s">
        <v>68</v>
      </c>
      <c r="C35" s="20"/>
      <c r="D35" s="21"/>
      <c r="E35" s="16">
        <f t="shared" si="0"/>
        <v>0</v>
      </c>
      <c r="F35" s="64"/>
      <c r="G35" s="24">
        <f t="shared" si="5"/>
        <v>0</v>
      </c>
      <c r="H35" s="118"/>
      <c r="I35" s="118"/>
    </row>
    <row r="36" spans="1:9" hidden="1" x14ac:dyDescent="0.3">
      <c r="B36" s="39" t="s">
        <v>69</v>
      </c>
      <c r="C36" s="53">
        <f>SUM(C37)</f>
        <v>0</v>
      </c>
      <c r="D36" s="65">
        <f>SUM(D37)</f>
        <v>0</v>
      </c>
      <c r="E36" s="16">
        <f t="shared" si="0"/>
        <v>0</v>
      </c>
      <c r="F36" s="55">
        <f>SUM(F37)</f>
        <v>0</v>
      </c>
      <c r="G36" s="24">
        <f t="shared" si="5"/>
        <v>0</v>
      </c>
      <c r="H36" s="151">
        <f t="shared" ref="H36:I36" si="10">SUM(H37)</f>
        <v>0</v>
      </c>
      <c r="I36" s="151">
        <f t="shared" si="10"/>
        <v>0</v>
      </c>
    </row>
    <row r="37" spans="1:9" hidden="1" x14ac:dyDescent="0.3">
      <c r="B37" s="19" t="s">
        <v>70</v>
      </c>
      <c r="C37" s="20">
        <v>0</v>
      </c>
      <c r="D37" s="21"/>
      <c r="E37" s="16">
        <f t="shared" si="0"/>
        <v>0</v>
      </c>
      <c r="F37" s="44">
        <v>0</v>
      </c>
      <c r="G37" s="24">
        <f t="shared" si="5"/>
        <v>0</v>
      </c>
      <c r="H37" s="118">
        <v>0</v>
      </c>
      <c r="I37" s="118">
        <v>0</v>
      </c>
    </row>
    <row r="38" spans="1:9" x14ac:dyDescent="0.3">
      <c r="B38" s="39" t="s">
        <v>71</v>
      </c>
      <c r="C38" s="53">
        <f>SUM(C39:C41)</f>
        <v>2916072</v>
      </c>
      <c r="D38" s="65">
        <f>SUM(D39:D41)</f>
        <v>2874444.6797919339</v>
      </c>
      <c r="E38" s="131">
        <f t="shared" si="0"/>
        <v>1.4481865141019012E-2</v>
      </c>
      <c r="F38" s="55">
        <f>SUM(F39:F41)</f>
        <v>2756142.92</v>
      </c>
      <c r="G38" s="137">
        <f t="shared" si="5"/>
        <v>5.8026410328532618E-2</v>
      </c>
      <c r="H38" s="151">
        <f t="shared" ref="H38:I38" si="11">SUM(H39:H41)</f>
        <v>2586811.0900000003</v>
      </c>
      <c r="I38" s="151">
        <f t="shared" si="11"/>
        <v>2262780.0000000005</v>
      </c>
    </row>
    <row r="39" spans="1:9" x14ac:dyDescent="0.3">
      <c r="A39" s="85" t="s">
        <v>82</v>
      </c>
      <c r="B39" s="19" t="str">
        <f>A39</f>
        <v>Despesas financeiras</v>
      </c>
      <c r="C39" s="20">
        <v>2594417</v>
      </c>
      <c r="D39" s="21">
        <v>2564873.7999999998</v>
      </c>
      <c r="E39" s="127">
        <f t="shared" si="0"/>
        <v>1.151838347758094E-2</v>
      </c>
      <c r="F39" s="44">
        <v>2473094.67</v>
      </c>
      <c r="G39" s="136">
        <f t="shared" si="5"/>
        <v>4.9056888711826119E-2</v>
      </c>
      <c r="H39" s="118">
        <v>2287793.8400000003</v>
      </c>
      <c r="I39" s="118">
        <v>2054993.1600000001</v>
      </c>
    </row>
    <row r="40" spans="1:9" x14ac:dyDescent="0.3">
      <c r="A40" s="85" t="s">
        <v>73</v>
      </c>
      <c r="B40" s="19" t="str">
        <f>A40</f>
        <v>Outros gastos gerais</v>
      </c>
      <c r="C40" s="20">
        <v>306581</v>
      </c>
      <c r="D40" s="21">
        <v>306173.29570816696</v>
      </c>
      <c r="E40" s="127">
        <f t="shared" si="0"/>
        <v>1.3316128400095995E-3</v>
      </c>
      <c r="F40" s="44">
        <v>278932.90999999997</v>
      </c>
      <c r="G40" s="136">
        <f t="shared" si="5"/>
        <v>9.9120931983250227E-2</v>
      </c>
      <c r="H40" s="118">
        <v>295944.5199999999</v>
      </c>
      <c r="I40" s="118">
        <v>206275.89</v>
      </c>
    </row>
    <row r="41" spans="1:9" x14ac:dyDescent="0.3">
      <c r="A41" s="85" t="s">
        <v>72</v>
      </c>
      <c r="B41" s="56" t="str">
        <f>A41</f>
        <v>Locomoções gerais - viagens - estadias</v>
      </c>
      <c r="C41" s="20">
        <v>15074</v>
      </c>
      <c r="D41" s="67">
        <v>3397.5840837673372</v>
      </c>
      <c r="E41" s="124">
        <f t="shared" si="0"/>
        <v>3.4366819564581679</v>
      </c>
      <c r="F41" s="59">
        <v>4115.34</v>
      </c>
      <c r="G41" s="135">
        <f t="shared" si="5"/>
        <v>2.6628808312314414</v>
      </c>
      <c r="H41" s="118">
        <v>3072.73</v>
      </c>
      <c r="I41" s="118">
        <v>1510.9500000000003</v>
      </c>
    </row>
    <row r="42" spans="1:9" s="45" customFormat="1" x14ac:dyDescent="0.3">
      <c r="B42" s="72" t="s">
        <v>83</v>
      </c>
      <c r="C42" s="53">
        <f>SUM(C43)</f>
        <v>574144</v>
      </c>
      <c r="D42" s="65">
        <f>SUM(D43)</f>
        <v>413502.37999999989</v>
      </c>
      <c r="E42" s="129">
        <f t="shared" si="0"/>
        <v>0.38849019442161414</v>
      </c>
      <c r="F42" s="66">
        <f>SUM(F43)</f>
        <v>445702.7699999999</v>
      </c>
      <c r="G42" s="138">
        <f t="shared" si="5"/>
        <v>0.28817687177488294</v>
      </c>
      <c r="H42" s="151">
        <f t="shared" ref="H42:I42" si="12">SUM(H43)</f>
        <v>391022.37999999995</v>
      </c>
      <c r="I42" s="151">
        <f t="shared" si="12"/>
        <v>94660.78</v>
      </c>
    </row>
    <row r="43" spans="1:9" x14ac:dyDescent="0.3">
      <c r="A43" s="85" t="s">
        <v>83</v>
      </c>
      <c r="B43" s="73" t="str">
        <f>A43</f>
        <v>Tributários fiscais e taxas</v>
      </c>
      <c r="C43" s="20">
        <v>574144</v>
      </c>
      <c r="D43" s="21">
        <v>413502.37999999989</v>
      </c>
      <c r="E43" s="16">
        <f t="shared" si="0"/>
        <v>0.38849019442161414</v>
      </c>
      <c r="F43" s="70">
        <v>445702.7699999999</v>
      </c>
      <c r="G43" s="24">
        <f t="shared" si="5"/>
        <v>0.28817687177488294</v>
      </c>
      <c r="H43" s="118">
        <v>391022.37999999995</v>
      </c>
      <c r="I43" s="118">
        <v>94660.78</v>
      </c>
    </row>
    <row r="44" spans="1:9" x14ac:dyDescent="0.3">
      <c r="B44" s="26" t="s">
        <v>51</v>
      </c>
      <c r="C44" s="51">
        <f>SUM(C42+C38+C36+C34+C30+C28+C24)</f>
        <v>11768485.930946652</v>
      </c>
      <c r="D44" s="28">
        <f>SUM(D42+D38+D36+D34+D30+D28+D24)</f>
        <v>10684313.21697389</v>
      </c>
      <c r="E44" s="121">
        <f t="shared" si="0"/>
        <v>0.10147331812122151</v>
      </c>
      <c r="F44" s="49">
        <f>SUM(F42+F38+F36+F34+F30+F28+F24)</f>
        <v>10724074.490000002</v>
      </c>
      <c r="G44" s="120">
        <f t="shared" si="5"/>
        <v>9.7389424320070139E-2</v>
      </c>
      <c r="H44" s="150">
        <f t="shared" ref="H44:I44" si="13">SUM(H42+H38+H36+H34+H30+H28+H24)</f>
        <v>10088011.699999997</v>
      </c>
      <c r="I44" s="142">
        <f t="shared" si="13"/>
        <v>9081179.8399999999</v>
      </c>
    </row>
    <row r="45" spans="1:9" x14ac:dyDescent="0.3">
      <c r="C45" s="93"/>
      <c r="D45" s="93"/>
      <c r="E45" s="93"/>
      <c r="F45" s="93"/>
      <c r="G45" s="93"/>
      <c r="H45" s="93"/>
      <c r="I45" s="93"/>
    </row>
  </sheetData>
  <mergeCells count="3">
    <mergeCell ref="B3:B4"/>
    <mergeCell ref="B9:B10"/>
    <mergeCell ref="B22:B23"/>
  </mergeCells>
  <pageMargins left="0.511811024" right="0.511811024" top="0.78740157499999996" bottom="0.78740157499999996" header="0.31496062000000002" footer="0.31496062000000002"/>
  <ignoredErrors>
    <ignoredError sqref="F28 F30 F34:F38 F42 C42:D42 C34:D38 C30:D30 C28:D28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1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22.88671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210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Financeira</v>
      </c>
      <c r="B5" s="13" t="str">
        <f>'55-FIN_FIN'!B5</f>
        <v>Financeira</v>
      </c>
      <c r="C5" s="20">
        <f>'55-FIN_FIN'!C5</f>
        <v>11768485.930946684</v>
      </c>
      <c r="D5" s="43">
        <f>'55-FIN_FIN'!D5</f>
        <v>10684313.216973893</v>
      </c>
      <c r="E5" s="16">
        <f>IFERROR(C5/D5-1,0)</f>
        <v>0.10147331812122395</v>
      </c>
      <c r="F5" s="44">
        <f>'55-FIN_FIN'!F5</f>
        <v>10724074.489999993</v>
      </c>
      <c r="G5" s="17">
        <f>IFERROR(C5/F5-1,0)</f>
        <v>9.7389424320073914E-2</v>
      </c>
      <c r="H5" s="118">
        <f>'55-FIN_FIN'!H5</f>
        <v>10088011.700000009</v>
      </c>
      <c r="I5" s="118">
        <f>'55-FIN_FIN'!I5</f>
        <v>9081179.8400000036</v>
      </c>
    </row>
    <row r="6" spans="1:9" s="38" customFormat="1" x14ac:dyDescent="0.3">
      <c r="A6" s="99" t="s">
        <v>200</v>
      </c>
      <c r="B6" s="61" t="str">
        <f>'55-FIN_FIN'!B6</f>
        <v>Suprimentos</v>
      </c>
      <c r="C6" s="40">
        <f>'55-FIN_FIN'!C6</f>
        <v>4666333.2542828694</v>
      </c>
      <c r="D6" s="80">
        <f>'55-FIN_FIN'!D6</f>
        <v>4709470.1532488074</v>
      </c>
      <c r="E6" s="129">
        <f t="shared" ref="E6:E40" si="0">IFERROR(C6/D6-1,0)</f>
        <v>-9.1596076760737111E-3</v>
      </c>
      <c r="F6" s="77">
        <f>'55-FIN_FIN'!F6</f>
        <v>4908318.280000004</v>
      </c>
      <c r="G6" s="130">
        <f t="shared" ref="G6:G40" si="1">IFERROR(C6/F6-1,0)</f>
        <v>-4.9301005336828796E-2</v>
      </c>
      <c r="H6" s="147">
        <f>'55-FIN_FIN'!H6</f>
        <v>4383905.0100000044</v>
      </c>
      <c r="I6" s="147">
        <f>'55-FIN_FIN'!I6</f>
        <v>4192332.59</v>
      </c>
    </row>
    <row r="7" spans="1:9" x14ac:dyDescent="0.3">
      <c r="B7" s="46" t="s">
        <v>51</v>
      </c>
      <c r="C7" s="51">
        <f>SUM(C5:C6)</f>
        <v>16434819.185229553</v>
      </c>
      <c r="D7" s="49">
        <f>SUM(D5:D6)</f>
        <v>15393783.370222701</v>
      </c>
      <c r="E7" s="121">
        <f t="shared" si="0"/>
        <v>6.7627027740341017E-2</v>
      </c>
      <c r="F7" s="49">
        <f>SUM(F5:F6)</f>
        <v>15632392.769999996</v>
      </c>
      <c r="G7" s="122">
        <f t="shared" si="1"/>
        <v>5.1331003963096977E-2</v>
      </c>
      <c r="H7" s="150">
        <f t="shared" ref="H7:I7" si="2">SUM(H5:H6)</f>
        <v>14471916.710000012</v>
      </c>
      <c r="I7" s="142">
        <f t="shared" si="2"/>
        <v>13273512.430000003</v>
      </c>
    </row>
    <row r="8" spans="1:9" x14ac:dyDescent="0.3">
      <c r="B8" s="38"/>
      <c r="C8" s="50"/>
      <c r="D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 s="78" t="s">
        <v>211</v>
      </c>
      <c r="B11" s="19" t="str">
        <f>A11</f>
        <v>Compras</v>
      </c>
      <c r="C11" s="20">
        <v>3016236.8552803178</v>
      </c>
      <c r="D11" s="43">
        <v>2312550.5452879635</v>
      </c>
      <c r="E11" s="16">
        <f t="shared" si="0"/>
        <v>0.30429013170163155</v>
      </c>
      <c r="F11" s="44">
        <v>2467538.37</v>
      </c>
      <c r="G11" s="22">
        <f>IFERROR(C11/F11-1,0)</f>
        <v>0.22236674896379327</v>
      </c>
      <c r="H11" s="118">
        <v>2230147.7699999996</v>
      </c>
      <c r="I11" s="118">
        <v>2105368.0800000005</v>
      </c>
    </row>
    <row r="12" spans="1:9" x14ac:dyDescent="0.3">
      <c r="A12" s="78" t="s">
        <v>212</v>
      </c>
      <c r="B12" s="19" t="str">
        <f>A12</f>
        <v>Almoxarifado de Alimentos e Bebidas</v>
      </c>
      <c r="C12" s="20">
        <v>1121717.5739067812</v>
      </c>
      <c r="D12" s="118">
        <v>1996776.300113216</v>
      </c>
      <c r="E12" s="141">
        <f t="shared" si="0"/>
        <v>-0.43823573334520227</v>
      </c>
      <c r="F12" s="119">
        <v>2053775.0099999988</v>
      </c>
      <c r="G12" s="22">
        <f>IFERROR(C12/F12-1,0)</f>
        <v>-0.45382645691711787</v>
      </c>
      <c r="H12" s="118">
        <v>1789959.5599999996</v>
      </c>
      <c r="I12" s="118">
        <v>1749112.7500000002</v>
      </c>
    </row>
    <row r="13" spans="1:9" x14ac:dyDescent="0.3">
      <c r="A13" s="78" t="s">
        <v>213</v>
      </c>
      <c r="B13" s="19" t="str">
        <f>A13</f>
        <v>Almoxarifado de Manutenção</v>
      </c>
      <c r="C13" s="20">
        <v>528378.82509577647</v>
      </c>
      <c r="D13" s="118">
        <v>400143.30784762726</v>
      </c>
      <c r="E13" s="141">
        <f t="shared" si="0"/>
        <v>0.32047397703070102</v>
      </c>
      <c r="F13" s="119">
        <v>387004.90000000031</v>
      </c>
      <c r="G13" s="24">
        <f t="shared" si="1"/>
        <v>0.36530267470974143</v>
      </c>
      <c r="H13" s="118">
        <v>363797.67999999993</v>
      </c>
      <c r="I13" s="118">
        <v>337851.76</v>
      </c>
    </row>
    <row r="14" spans="1:9" x14ac:dyDescent="0.3">
      <c r="B14" s="46" t="s">
        <v>51</v>
      </c>
      <c r="C14" s="51">
        <f>SUM(C11:C13)</f>
        <v>4666333.254282875</v>
      </c>
      <c r="D14" s="143">
        <f>SUM(D11:D13)</f>
        <v>4709470.1532488065</v>
      </c>
      <c r="E14" s="146">
        <f t="shared" si="0"/>
        <v>-9.1596076760723788E-3</v>
      </c>
      <c r="F14" s="143">
        <f>SUM(F11:F13)</f>
        <v>4908318.2799999993</v>
      </c>
      <c r="G14" s="120">
        <f t="shared" si="1"/>
        <v>-4.9301005336826798E-2</v>
      </c>
      <c r="H14" s="150">
        <f t="shared" ref="H14:I14" si="3">SUM(H11:H13)</f>
        <v>4383905.0099999988</v>
      </c>
      <c r="I14" s="142">
        <f t="shared" si="3"/>
        <v>4192332.5900000008</v>
      </c>
    </row>
    <row r="15" spans="1:9" x14ac:dyDescent="0.3">
      <c r="B15" s="38"/>
      <c r="C15" s="50"/>
      <c r="D15" s="50"/>
      <c r="H15" s="50"/>
      <c r="I15" s="50"/>
    </row>
    <row r="16" spans="1:9" x14ac:dyDescent="0.3">
      <c r="B16" s="202" t="s">
        <v>56</v>
      </c>
      <c r="C16" s="8"/>
      <c r="D16" s="8"/>
      <c r="E16" s="36"/>
      <c r="F16" s="36"/>
      <c r="G16" s="36"/>
      <c r="H16" s="8"/>
      <c r="I16" s="8"/>
    </row>
    <row r="17" spans="1:9" ht="43.2" x14ac:dyDescent="0.3">
      <c r="B17" s="203"/>
      <c r="C17" s="10" t="str">
        <f>'23-Despesas '!C$4</f>
        <v>Orçamento 2026</v>
      </c>
      <c r="D17" s="10" t="str">
        <f>'23-Despesas '!D$4</f>
        <v>Projeção 2025</v>
      </c>
      <c r="E17" s="11" t="s">
        <v>6</v>
      </c>
      <c r="F17" s="37" t="str">
        <f>'23-Despesas '!F$4</f>
        <v>Orçamento 2025</v>
      </c>
      <c r="G17" s="12" t="s">
        <v>8</v>
      </c>
      <c r="H17" s="10" t="s">
        <v>382</v>
      </c>
      <c r="I17" s="10" t="s">
        <v>197</v>
      </c>
    </row>
    <row r="18" spans="1:9" x14ac:dyDescent="0.3">
      <c r="B18" s="39" t="s">
        <v>57</v>
      </c>
      <c r="C18" s="53">
        <f>SUM(C19:C22)</f>
        <v>4112403.6542828754</v>
      </c>
      <c r="D18" s="54">
        <f>SUM(D19:D22)</f>
        <v>4256643.2443993948</v>
      </c>
      <c r="E18" s="129">
        <f t="shared" si="0"/>
        <v>-3.3885759701920093E-2</v>
      </c>
      <c r="F18" s="55">
        <f>SUM(F19:F22)</f>
        <v>4397052.59</v>
      </c>
      <c r="G18" s="138">
        <f t="shared" si="1"/>
        <v>-6.4736304579228299E-2</v>
      </c>
      <c r="H18" s="151">
        <f t="shared" ref="H18:I18" si="4">SUM(H19:H22)</f>
        <v>4008545.3899999992</v>
      </c>
      <c r="I18" s="151">
        <f t="shared" si="4"/>
        <v>3794420.2</v>
      </c>
    </row>
    <row r="19" spans="1:9" x14ac:dyDescent="0.3">
      <c r="A19" s="85" t="s">
        <v>58</v>
      </c>
      <c r="B19" s="19" t="str">
        <f>A19</f>
        <v>Salários e provisões</v>
      </c>
      <c r="C19" s="20">
        <v>2560843.2142079901</v>
      </c>
      <c r="D19" s="43">
        <v>2624267.11777606</v>
      </c>
      <c r="E19" s="16">
        <f t="shared" si="0"/>
        <v>-2.4168234681010148E-2</v>
      </c>
      <c r="F19" s="44">
        <v>2694330.8399999994</v>
      </c>
      <c r="G19" s="24">
        <f t="shared" si="1"/>
        <v>-4.9543888155921256E-2</v>
      </c>
      <c r="H19" s="118">
        <v>2475435.8399999994</v>
      </c>
      <c r="I19" s="118">
        <v>2344602.6800000002</v>
      </c>
    </row>
    <row r="20" spans="1:9" x14ac:dyDescent="0.3">
      <c r="A20" s="85" t="s">
        <v>59</v>
      </c>
      <c r="B20" s="19" t="str">
        <f>A20</f>
        <v>Encargos sociais</v>
      </c>
      <c r="C20" s="20">
        <v>909099.34104383586</v>
      </c>
      <c r="D20" s="43">
        <v>922462.69864308112</v>
      </c>
      <c r="E20" s="16">
        <f t="shared" si="0"/>
        <v>-1.4486610265003086E-2</v>
      </c>
      <c r="F20" s="44">
        <v>954084.95999999973</v>
      </c>
      <c r="G20" s="22">
        <f t="shared" si="1"/>
        <v>-4.7150537784563684E-2</v>
      </c>
      <c r="H20" s="118">
        <v>869527.37000000023</v>
      </c>
      <c r="I20" s="118">
        <v>827214.28999999992</v>
      </c>
    </row>
    <row r="21" spans="1:9" x14ac:dyDescent="0.3">
      <c r="A21" s="85" t="s">
        <v>60</v>
      </c>
      <c r="B21" s="19" t="str">
        <f>A21</f>
        <v>Benefícios</v>
      </c>
      <c r="C21" s="20">
        <v>624271.73903104942</v>
      </c>
      <c r="D21" s="43">
        <v>693576.56232397142</v>
      </c>
      <c r="E21" s="16">
        <f t="shared" si="0"/>
        <v>-9.9923825367890018E-2</v>
      </c>
      <c r="F21" s="44">
        <v>731313.59000000078</v>
      </c>
      <c r="G21" s="22">
        <f t="shared" si="1"/>
        <v>-0.14636929004553467</v>
      </c>
      <c r="H21" s="118">
        <v>644486.76999999955</v>
      </c>
      <c r="I21" s="118">
        <v>597286.62000000011</v>
      </c>
    </row>
    <row r="22" spans="1:9" x14ac:dyDescent="0.3">
      <c r="A22" s="85" t="s">
        <v>61</v>
      </c>
      <c r="B22" s="19" t="str">
        <f>A22</f>
        <v>Outros</v>
      </c>
      <c r="C22" s="20">
        <v>18189.36</v>
      </c>
      <c r="D22" s="43">
        <v>16336.865656281654</v>
      </c>
      <c r="E22" s="16">
        <f t="shared" si="0"/>
        <v>0.11339349803651277</v>
      </c>
      <c r="F22" s="44">
        <v>17323.2</v>
      </c>
      <c r="G22" s="22">
        <f>IFERROR(C22/F22-1,0)</f>
        <v>5.0000000000000044E-2</v>
      </c>
      <c r="H22" s="118">
        <v>19095.41</v>
      </c>
      <c r="I22" s="118">
        <v>25316.61</v>
      </c>
    </row>
    <row r="23" spans="1:9" x14ac:dyDescent="0.3">
      <c r="B23" s="39" t="s">
        <v>62</v>
      </c>
      <c r="C23" s="53">
        <f>SUM(C24:C24)</f>
        <v>308423.85999999981</v>
      </c>
      <c r="D23" s="54">
        <f>SUM(D24:D24)</f>
        <v>266672.65173700335</v>
      </c>
      <c r="E23" s="131">
        <f t="shared" si="0"/>
        <v>0.15656351707250482</v>
      </c>
      <c r="F23" s="55">
        <f>SUM(F24:F24)</f>
        <v>290436.39999999997</v>
      </c>
      <c r="G23" s="132">
        <f t="shared" si="1"/>
        <v>6.1932526363774887E-2</v>
      </c>
      <c r="H23" s="151">
        <f t="shared" ref="H23:I23" si="5">SUM(H24:H24)</f>
        <v>255291.03</v>
      </c>
      <c r="I23" s="151">
        <f t="shared" si="5"/>
        <v>243999.82</v>
      </c>
    </row>
    <row r="24" spans="1:9" s="38" customFormat="1" x14ac:dyDescent="0.3">
      <c r="A24" s="85" t="s">
        <v>63</v>
      </c>
      <c r="B24" s="19" t="str">
        <f>A24</f>
        <v>Serviços contratados</v>
      </c>
      <c r="C24" s="20">
        <v>308423.85999999981</v>
      </c>
      <c r="D24" s="43">
        <v>266672.65173700335</v>
      </c>
      <c r="E24" s="124">
        <f t="shared" si="0"/>
        <v>0.15656351707250482</v>
      </c>
      <c r="F24" s="44">
        <v>290436.39999999997</v>
      </c>
      <c r="G24" s="126">
        <f t="shared" si="1"/>
        <v>6.1932526363774887E-2</v>
      </c>
      <c r="H24" s="118">
        <v>255291.03</v>
      </c>
      <c r="I24" s="118">
        <v>243999.82</v>
      </c>
    </row>
    <row r="25" spans="1:9" x14ac:dyDescent="0.3">
      <c r="B25" s="39" t="s">
        <v>64</v>
      </c>
      <c r="C25" s="53">
        <f>SUM(C26:C28)</f>
        <v>165108.14000000001</v>
      </c>
      <c r="D25" s="54">
        <f>SUM(D26:D28)</f>
        <v>143436.79169140582</v>
      </c>
      <c r="E25" s="129">
        <f t="shared" si="0"/>
        <v>0.15108639877569607</v>
      </c>
      <c r="F25" s="55">
        <f>SUM(F26:F28)</f>
        <v>159357.71999999997</v>
      </c>
      <c r="G25" s="130">
        <f t="shared" si="1"/>
        <v>3.6084979127462669E-2</v>
      </c>
      <c r="H25" s="151">
        <f t="shared" ref="H25:I25" si="6">SUM(H26:H28)</f>
        <v>108078.82</v>
      </c>
      <c r="I25" s="151">
        <f t="shared" si="6"/>
        <v>131005.19</v>
      </c>
    </row>
    <row r="26" spans="1:9" x14ac:dyDescent="0.3">
      <c r="A26" s="85" t="s">
        <v>65</v>
      </c>
      <c r="B26" s="19" t="str">
        <f>A26</f>
        <v>Material de consumo geral</v>
      </c>
      <c r="C26" s="20">
        <v>109067.01000000002</v>
      </c>
      <c r="D26" s="43">
        <v>85991.231668703913</v>
      </c>
      <c r="E26" s="16">
        <f t="shared" si="0"/>
        <v>0.26835036414177127</v>
      </c>
      <c r="F26" s="44">
        <v>104531.48999999998</v>
      </c>
      <c r="G26" s="22">
        <f t="shared" si="1"/>
        <v>4.338903042518627E-2</v>
      </c>
      <c r="H26" s="118">
        <v>81325.220000000016</v>
      </c>
      <c r="I26" s="118">
        <v>88187.28</v>
      </c>
    </row>
    <row r="27" spans="1:9" x14ac:dyDescent="0.3">
      <c r="A27" s="85" t="s">
        <v>66</v>
      </c>
      <c r="B27" s="19" t="str">
        <f>A27</f>
        <v>Mercadoria de revenda e consumo</v>
      </c>
      <c r="C27" s="20">
        <v>41948.269999999982</v>
      </c>
      <c r="D27" s="43">
        <v>37112.310750436212</v>
      </c>
      <c r="E27" s="16">
        <f t="shared" si="0"/>
        <v>0.13030606695668845</v>
      </c>
      <c r="F27" s="44">
        <v>39772.99</v>
      </c>
      <c r="G27" s="22">
        <f t="shared" si="1"/>
        <v>5.4692393003392015E-2</v>
      </c>
      <c r="H27" s="118">
        <v>16048.409999999993</v>
      </c>
      <c r="I27" s="118">
        <v>27370.25</v>
      </c>
    </row>
    <row r="28" spans="1:9" x14ac:dyDescent="0.3">
      <c r="A28" s="85" t="s">
        <v>67</v>
      </c>
      <c r="B28" s="56" t="str">
        <f>A28</f>
        <v>Mercadoria de uso geral</v>
      </c>
      <c r="C28" s="20">
        <v>14092.86</v>
      </c>
      <c r="D28" s="58">
        <v>20333.249272265683</v>
      </c>
      <c r="E28" s="16">
        <f t="shared" si="0"/>
        <v>-0.30690565923359336</v>
      </c>
      <c r="F28" s="44">
        <v>15053.240000000003</v>
      </c>
      <c r="G28" s="22">
        <f t="shared" si="1"/>
        <v>-6.3798889807111459E-2</v>
      </c>
      <c r="H28" s="118">
        <v>10705.190000000002</v>
      </c>
      <c r="I28" s="118">
        <v>15447.66</v>
      </c>
    </row>
    <row r="29" spans="1:9" s="45" customFormat="1" hidden="1" x14ac:dyDescent="0.3">
      <c r="B29" s="61" t="s">
        <v>68</v>
      </c>
      <c r="C29" s="40">
        <f>SUM(C30)</f>
        <v>0</v>
      </c>
      <c r="D29" s="62">
        <f>SUM(D30)</f>
        <v>0</v>
      </c>
      <c r="E29" s="16">
        <f t="shared" si="0"/>
        <v>0</v>
      </c>
      <c r="F29" s="66">
        <f>SUM(F30)</f>
        <v>0</v>
      </c>
      <c r="G29" s="22">
        <f t="shared" si="1"/>
        <v>0</v>
      </c>
      <c r="H29" s="147">
        <f t="shared" ref="H29:I29" si="7">SUM(H30)</f>
        <v>0</v>
      </c>
      <c r="I29" s="147">
        <f t="shared" si="7"/>
        <v>0</v>
      </c>
    </row>
    <row r="30" spans="1:9" hidden="1" x14ac:dyDescent="0.3">
      <c r="B30" s="19" t="s">
        <v>68</v>
      </c>
      <c r="C30" s="20"/>
      <c r="D30" s="43"/>
      <c r="E30" s="16">
        <f t="shared" si="0"/>
        <v>0</v>
      </c>
      <c r="F30" s="44"/>
      <c r="G30" s="22">
        <f t="shared" si="1"/>
        <v>0</v>
      </c>
      <c r="H30" s="118"/>
      <c r="I30" s="118"/>
    </row>
    <row r="31" spans="1:9" hidden="1" x14ac:dyDescent="0.3">
      <c r="B31" s="39" t="s">
        <v>69</v>
      </c>
      <c r="C31" s="53">
        <f>SUM(C32:C33)</f>
        <v>0</v>
      </c>
      <c r="D31" s="54">
        <f>SUM(D32:D33)</f>
        <v>0</v>
      </c>
      <c r="E31" s="16">
        <f t="shared" si="0"/>
        <v>0</v>
      </c>
      <c r="F31" s="55">
        <f>SUM(F32:F33)</f>
        <v>0</v>
      </c>
      <c r="G31" s="22">
        <f t="shared" si="1"/>
        <v>0</v>
      </c>
      <c r="H31" s="151">
        <f t="shared" ref="H31:I31" si="8">SUM(H32:H33)</f>
        <v>0</v>
      </c>
      <c r="I31" s="151">
        <f t="shared" si="8"/>
        <v>0</v>
      </c>
    </row>
    <row r="32" spans="1:9" hidden="1" x14ac:dyDescent="0.3">
      <c r="B32" s="19" t="s">
        <v>81</v>
      </c>
      <c r="C32" s="20"/>
      <c r="D32" s="43"/>
      <c r="E32" s="16">
        <f t="shared" si="0"/>
        <v>0</v>
      </c>
      <c r="F32" s="44"/>
      <c r="G32" s="22">
        <f t="shared" si="1"/>
        <v>0</v>
      </c>
      <c r="H32" s="118"/>
      <c r="I32" s="118"/>
    </row>
    <row r="33" spans="1:9" hidden="1" x14ac:dyDescent="0.3">
      <c r="B33" s="19" t="s">
        <v>70</v>
      </c>
      <c r="C33" s="20">
        <v>0</v>
      </c>
      <c r="D33" s="43">
        <v>0</v>
      </c>
      <c r="E33" s="16">
        <f t="shared" si="0"/>
        <v>0</v>
      </c>
      <c r="F33" s="44">
        <v>0</v>
      </c>
      <c r="G33" s="22">
        <f t="shared" si="1"/>
        <v>0</v>
      </c>
      <c r="H33" s="118">
        <v>0</v>
      </c>
      <c r="I33" s="118">
        <v>0</v>
      </c>
    </row>
    <row r="34" spans="1:9" x14ac:dyDescent="0.3">
      <c r="B34" s="39" t="s">
        <v>71</v>
      </c>
      <c r="C34" s="53">
        <f>SUM(C35:C37)</f>
        <v>71849.399999999994</v>
      </c>
      <c r="D34" s="54">
        <f>SUM(D35:D37)</f>
        <v>37529.845421005295</v>
      </c>
      <c r="E34" s="131">
        <f t="shared" si="0"/>
        <v>0.91446032335071092</v>
      </c>
      <c r="F34" s="55">
        <f>SUM(F35:F37)</f>
        <v>53384.289999999994</v>
      </c>
      <c r="G34" s="132">
        <f t="shared" si="1"/>
        <v>0.34589033590219143</v>
      </c>
      <c r="H34" s="151">
        <f t="shared" ref="H34:I34" si="9">SUM(H35:H37)</f>
        <v>4619.3500000000022</v>
      </c>
      <c r="I34" s="151">
        <f t="shared" si="9"/>
        <v>16675.919999999998</v>
      </c>
    </row>
    <row r="35" spans="1:9" x14ac:dyDescent="0.3">
      <c r="A35" s="85" t="s">
        <v>73</v>
      </c>
      <c r="B35" s="19" t="str">
        <f>A35</f>
        <v>Outros gastos gerais</v>
      </c>
      <c r="C35" s="20">
        <v>48364.639999999992</v>
      </c>
      <c r="D35" s="43">
        <v>31427.358877184019</v>
      </c>
      <c r="E35" s="127">
        <f t="shared" si="0"/>
        <v>0.53893428299227164</v>
      </c>
      <c r="F35" s="44">
        <v>45760.439999999988</v>
      </c>
      <c r="G35" s="128">
        <f t="shared" si="1"/>
        <v>5.6909417829024589E-2</v>
      </c>
      <c r="H35" s="118">
        <v>-106.06999999999834</v>
      </c>
      <c r="I35" s="118">
        <v>12572.3</v>
      </c>
    </row>
    <row r="36" spans="1:9" x14ac:dyDescent="0.3">
      <c r="A36" s="85" t="s">
        <v>72</v>
      </c>
      <c r="B36" s="19" t="str">
        <f>A36</f>
        <v>Locomoções gerais - viagens - estadias</v>
      </c>
      <c r="C36" s="20">
        <v>18265.560000000005</v>
      </c>
      <c r="D36" s="43">
        <v>3083.1265438212786</v>
      </c>
      <c r="E36" s="127">
        <f t="shared" si="0"/>
        <v>4.9243627338634512</v>
      </c>
      <c r="F36" s="44">
        <v>2686.08</v>
      </c>
      <c r="G36" s="128">
        <f t="shared" si="1"/>
        <v>5.8000804145818465</v>
      </c>
      <c r="H36" s="118">
        <v>3909.01</v>
      </c>
      <c r="I36" s="118">
        <v>3179.2499999999995</v>
      </c>
    </row>
    <row r="37" spans="1:9" x14ac:dyDescent="0.3">
      <c r="A37" s="85" t="s">
        <v>82</v>
      </c>
      <c r="B37" s="56" t="str">
        <f>A37</f>
        <v>Despesas financeiras</v>
      </c>
      <c r="C37" s="20">
        <v>5219.2</v>
      </c>
      <c r="D37" s="58">
        <v>3019.3599999999992</v>
      </c>
      <c r="E37" s="124">
        <f t="shared" si="0"/>
        <v>0.7285782417465958</v>
      </c>
      <c r="F37" s="44">
        <v>4937.7700000000013</v>
      </c>
      <c r="G37" s="126">
        <f t="shared" si="1"/>
        <v>5.6995364304128771E-2</v>
      </c>
      <c r="H37" s="118">
        <v>816.41</v>
      </c>
      <c r="I37" s="118">
        <v>924.37</v>
      </c>
    </row>
    <row r="38" spans="1:9" s="45" customFormat="1" x14ac:dyDescent="0.3">
      <c r="B38" s="72" t="s">
        <v>83</v>
      </c>
      <c r="C38" s="53">
        <f>SUM(C39)</f>
        <v>8548.2000000000025</v>
      </c>
      <c r="D38" s="65">
        <f>SUM(D39)</f>
        <v>5187.6200000000008</v>
      </c>
      <c r="E38" s="129">
        <f t="shared" si="0"/>
        <v>0.64780766517208299</v>
      </c>
      <c r="F38" s="66">
        <f>SUM(F39)</f>
        <v>8087.2800000000025</v>
      </c>
      <c r="G38" s="130">
        <f t="shared" si="1"/>
        <v>5.6993204142802067E-2</v>
      </c>
      <c r="H38" s="151">
        <f t="shared" ref="H38:I38" si="10">SUM(H39)</f>
        <v>7370.42</v>
      </c>
      <c r="I38" s="151">
        <f t="shared" si="10"/>
        <v>6231.46</v>
      </c>
    </row>
    <row r="39" spans="1:9" x14ac:dyDescent="0.3">
      <c r="A39" s="85" t="s">
        <v>83</v>
      </c>
      <c r="B39" s="73" t="str">
        <f>A39</f>
        <v>Tributários fiscais e taxas</v>
      </c>
      <c r="C39" s="20">
        <v>8548.2000000000025</v>
      </c>
      <c r="D39" s="79">
        <v>5187.6200000000008</v>
      </c>
      <c r="E39" s="16">
        <f t="shared" si="0"/>
        <v>0.64780766517208299</v>
      </c>
      <c r="F39" s="44">
        <v>8087.2800000000025</v>
      </c>
      <c r="G39" s="22">
        <f t="shared" si="1"/>
        <v>5.6993204142802067E-2</v>
      </c>
      <c r="H39" s="118">
        <v>7370.42</v>
      </c>
      <c r="I39" s="118">
        <v>6231.46</v>
      </c>
    </row>
    <row r="40" spans="1:9" x14ac:dyDescent="0.3">
      <c r="B40" s="26" t="s">
        <v>51</v>
      </c>
      <c r="C40" s="51">
        <f>SUM(C38+C34+C31+C29+C25+C23+C18)</f>
        <v>4666333.254282875</v>
      </c>
      <c r="D40" s="49">
        <f>SUM(D38+D34+D31+D29+D25+D23+D18)</f>
        <v>4709470.1532488093</v>
      </c>
      <c r="E40" s="121">
        <f t="shared" si="0"/>
        <v>-9.1596076760729339E-3</v>
      </c>
      <c r="F40" s="49">
        <f>SUM(F38+F34+F31+F29+F25+F23+F18)</f>
        <v>4908318.2799999993</v>
      </c>
      <c r="G40" s="122">
        <f t="shared" si="1"/>
        <v>-4.9301005336826798E-2</v>
      </c>
      <c r="H40" s="150">
        <f t="shared" ref="H40:I40" si="11">SUM(H38+H34+H31+H29+H25+H23+H18)</f>
        <v>4383905.0099999988</v>
      </c>
      <c r="I40" s="142">
        <f t="shared" si="11"/>
        <v>4192332.5900000003</v>
      </c>
    </row>
    <row r="41" spans="1:9" x14ac:dyDescent="0.3">
      <c r="B41" s="74"/>
      <c r="C41" s="76"/>
      <c r="D41" s="76"/>
      <c r="E41" s="76"/>
      <c r="F41" s="76"/>
      <c r="G41" s="76"/>
      <c r="H41" s="76"/>
      <c r="I41" s="76"/>
    </row>
  </sheetData>
  <mergeCells count="3">
    <mergeCell ref="B3:B4"/>
    <mergeCell ref="B9:B10"/>
    <mergeCell ref="B16:B17"/>
  </mergeCells>
  <pageMargins left="0.511811024" right="0.511811024" top="0.78740157499999996" bottom="0.78740157499999996" header="0.31496062000000002" footer="0.31496062000000002"/>
  <ignoredErrors>
    <ignoredError sqref="F23 F25 F29:F34 F38 C38:D38 C29:D34 C25:D25 C23:D23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0"/>
  <sheetViews>
    <sheetView showGridLines="0" showRowColHeaders="0" topLeftCell="B10" workbookViewId="0">
      <selection activeCell="G40" sqref="G40"/>
    </sheetView>
  </sheetViews>
  <sheetFormatPr defaultRowHeight="14.4" x14ac:dyDescent="0.3"/>
  <cols>
    <col min="1" max="1" width="22.5546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214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38" t="str">
        <f>B5</f>
        <v>Jurídica</v>
      </c>
      <c r="B5" s="100" t="s">
        <v>215</v>
      </c>
      <c r="C5" s="40">
        <v>2011744</v>
      </c>
      <c r="D5" s="41">
        <v>1658823.3956271792</v>
      </c>
      <c r="E5" s="16">
        <f>IFERROR(C5/D5-1,0)</f>
        <v>0.21275357298622266</v>
      </c>
      <c r="F5" s="42">
        <v>1742198.3599999994</v>
      </c>
      <c r="G5" s="17">
        <f>IFERROR(C5/F5-1,0)</f>
        <v>0.15471581548268754</v>
      </c>
      <c r="H5" s="147">
        <v>1535840.2699999996</v>
      </c>
      <c r="I5" s="147">
        <v>1492959.7600000002</v>
      </c>
    </row>
    <row r="6" spans="1:9" x14ac:dyDescent="0.3">
      <c r="B6" s="46" t="s">
        <v>51</v>
      </c>
      <c r="C6" s="51">
        <f>SUM(C5)</f>
        <v>2011744</v>
      </c>
      <c r="D6" s="49">
        <f>SUM(D5)</f>
        <v>1658823.3956271792</v>
      </c>
      <c r="E6" s="121">
        <f t="shared" ref="E6:E38" si="0">IFERROR(C6/D6-1,0)</f>
        <v>0.21275357298622266</v>
      </c>
      <c r="F6" s="49">
        <f>SUM(F5)</f>
        <v>1742198.3599999994</v>
      </c>
      <c r="G6" s="122">
        <f t="shared" ref="G6:G38" si="1">IFERROR(C6/F6-1,0)</f>
        <v>0.15471581548268754</v>
      </c>
      <c r="H6" s="150">
        <f t="shared" ref="H6:I6" si="2">SUM(H5)</f>
        <v>1535840.2699999996</v>
      </c>
      <c r="I6" s="142">
        <f t="shared" si="2"/>
        <v>1492959.7600000002</v>
      </c>
    </row>
    <row r="7" spans="1:9" x14ac:dyDescent="0.3">
      <c r="B7" s="38"/>
      <c r="C7" s="50"/>
      <c r="D7" s="50"/>
      <c r="H7" s="50"/>
      <c r="I7" s="50"/>
    </row>
    <row r="8" spans="1:9" x14ac:dyDescent="0.3">
      <c r="B8" s="202" t="s">
        <v>52</v>
      </c>
      <c r="C8" s="8"/>
      <c r="D8" s="8"/>
      <c r="E8" s="36"/>
      <c r="F8" s="36"/>
      <c r="G8" s="36"/>
      <c r="H8" s="8"/>
      <c r="I8" s="8"/>
    </row>
    <row r="9" spans="1:9" ht="43.2" x14ac:dyDescent="0.3">
      <c r="B9" s="203"/>
      <c r="C9" s="10" t="str">
        <f>'23-Despesas '!C$4</f>
        <v>Orçamento 2026</v>
      </c>
      <c r="D9" s="10" t="str">
        <f>'23-Despesas '!D$4</f>
        <v>Projeção 2025</v>
      </c>
      <c r="E9" s="11" t="s">
        <v>6</v>
      </c>
      <c r="F9" s="37" t="str">
        <f>'23-Despesas '!F$4</f>
        <v>Orçamento 2025</v>
      </c>
      <c r="G9" s="12" t="s">
        <v>8</v>
      </c>
      <c r="H9" s="10" t="s">
        <v>382</v>
      </c>
      <c r="I9" s="10" t="s">
        <v>197</v>
      </c>
    </row>
    <row r="10" spans="1:9" x14ac:dyDescent="0.3">
      <c r="A10">
        <v>100300</v>
      </c>
      <c r="B10" s="19" t="s">
        <v>215</v>
      </c>
      <c r="C10" s="20">
        <f>C5</f>
        <v>2011744</v>
      </c>
      <c r="D10" s="43">
        <f>D5</f>
        <v>1658823.3956271792</v>
      </c>
      <c r="E10" s="16">
        <f t="shared" si="0"/>
        <v>0.21275357298622266</v>
      </c>
      <c r="F10" s="44">
        <f>F5</f>
        <v>1742198.3599999994</v>
      </c>
      <c r="G10" s="22">
        <f>IFERROR(C10/F10-1,0)</f>
        <v>0.15471581548268754</v>
      </c>
      <c r="H10" s="118">
        <f t="shared" ref="H10:I10" si="3">H5</f>
        <v>1535840.2699999996</v>
      </c>
      <c r="I10" s="118">
        <f t="shared" si="3"/>
        <v>1492959.7600000002</v>
      </c>
    </row>
    <row r="11" spans="1:9" x14ac:dyDescent="0.3">
      <c r="B11" s="46" t="s">
        <v>51</v>
      </c>
      <c r="C11" s="51">
        <f>SUM(C10)</f>
        <v>2011744</v>
      </c>
      <c r="D11" s="28">
        <f>SUM(D10)</f>
        <v>1658823.3956271792</v>
      </c>
      <c r="E11" s="121">
        <f t="shared" si="0"/>
        <v>0.21275357298622266</v>
      </c>
      <c r="F11" s="28">
        <f>SUM(F10)</f>
        <v>1742198.3599999994</v>
      </c>
      <c r="G11" s="122">
        <f>IFERROR(C11/F11-1,0)</f>
        <v>0.15471581548268754</v>
      </c>
      <c r="H11" s="150">
        <f t="shared" ref="H11:I11" si="4">SUM(H10)</f>
        <v>1535840.2699999996</v>
      </c>
      <c r="I11" s="142">
        <f t="shared" si="4"/>
        <v>1492959.7600000002</v>
      </c>
    </row>
    <row r="12" spans="1:9" x14ac:dyDescent="0.3">
      <c r="B12" s="38"/>
      <c r="C12" s="50"/>
      <c r="D12" s="50"/>
      <c r="H12" s="50"/>
      <c r="I12" s="50"/>
    </row>
    <row r="13" spans="1:9" x14ac:dyDescent="0.3">
      <c r="B13" s="202" t="s">
        <v>56</v>
      </c>
      <c r="C13" s="8"/>
      <c r="D13" s="8"/>
      <c r="E13" s="36"/>
      <c r="F13" s="36"/>
      <c r="G13" s="36"/>
      <c r="H13" s="8"/>
      <c r="I13" s="8"/>
    </row>
    <row r="14" spans="1:9" ht="43.2" x14ac:dyDescent="0.3">
      <c r="B14" s="203"/>
      <c r="C14" s="10" t="str">
        <f>'23-Despesas '!C$4</f>
        <v>Orçamento 2026</v>
      </c>
      <c r="D14" s="10" t="str">
        <f>'23-Despesas '!D$4</f>
        <v>Projeção 2025</v>
      </c>
      <c r="E14" s="11" t="s">
        <v>6</v>
      </c>
      <c r="F14" s="37" t="str">
        <f>'23-Despesas '!F$4</f>
        <v>Orçamento 2025</v>
      </c>
      <c r="G14" s="12" t="s">
        <v>8</v>
      </c>
      <c r="H14" s="10" t="s">
        <v>382</v>
      </c>
      <c r="I14" s="10" t="s">
        <v>197</v>
      </c>
    </row>
    <row r="15" spans="1:9" x14ac:dyDescent="0.3">
      <c r="B15" s="39" t="s">
        <v>57</v>
      </c>
      <c r="C15" s="53">
        <f>SUM(C16:C19)</f>
        <v>915667.03097865335</v>
      </c>
      <c r="D15" s="54">
        <f>SUM(D16:D19)</f>
        <v>837888.13736423897</v>
      </c>
      <c r="E15" s="129">
        <f t="shared" si="0"/>
        <v>9.2827300144247227E-2</v>
      </c>
      <c r="F15" s="55">
        <f>SUM(F16:F19)</f>
        <v>836549.56</v>
      </c>
      <c r="G15" s="130">
        <f t="shared" si="1"/>
        <v>9.4575951936013647E-2</v>
      </c>
      <c r="H15" s="151">
        <f t="shared" ref="H15:I15" si="5">SUM(H16:H19)</f>
        <v>797276.13000000012</v>
      </c>
      <c r="I15" s="151">
        <f t="shared" si="5"/>
        <v>688044.85000000009</v>
      </c>
    </row>
    <row r="16" spans="1:9" x14ac:dyDescent="0.3">
      <c r="A16" s="85" t="s">
        <v>58</v>
      </c>
      <c r="B16" s="19" t="str">
        <f>A16</f>
        <v>Salários e provisões</v>
      </c>
      <c r="C16" s="20">
        <v>580329.17177931662</v>
      </c>
      <c r="D16" s="21">
        <v>563927.30059868982</v>
      </c>
      <c r="E16" s="16">
        <f t="shared" si="0"/>
        <v>2.9085080937230501E-2</v>
      </c>
      <c r="F16" s="44">
        <v>558012.17000000004</v>
      </c>
      <c r="G16" s="24">
        <f t="shared" si="1"/>
        <v>3.9993754579432439E-2</v>
      </c>
      <c r="H16" s="118">
        <v>534088.68000000017</v>
      </c>
      <c r="I16" s="118">
        <v>456926.21</v>
      </c>
    </row>
    <row r="17" spans="1:9" x14ac:dyDescent="0.3">
      <c r="A17" s="85" t="s">
        <v>59</v>
      </c>
      <c r="B17" s="19" t="str">
        <f>A17</f>
        <v>Encargos sociais</v>
      </c>
      <c r="C17" s="20">
        <v>206016.85598165734</v>
      </c>
      <c r="D17" s="43">
        <v>195881.62794193454</v>
      </c>
      <c r="E17" s="16">
        <f t="shared" si="0"/>
        <v>5.1741595912849991E-2</v>
      </c>
      <c r="F17" s="44">
        <v>198094.24</v>
      </c>
      <c r="G17" s="22">
        <f t="shared" si="1"/>
        <v>3.9994176416524585E-2</v>
      </c>
      <c r="H17" s="118">
        <v>182377.35</v>
      </c>
      <c r="I17" s="118">
        <v>156605.24000000002</v>
      </c>
    </row>
    <row r="18" spans="1:9" x14ac:dyDescent="0.3">
      <c r="A18" s="85" t="s">
        <v>60</v>
      </c>
      <c r="B18" s="19" t="str">
        <f>A18</f>
        <v>Benefícios</v>
      </c>
      <c r="C18" s="20">
        <v>129321.00321767945</v>
      </c>
      <c r="D18" s="43">
        <v>67378.828823614604</v>
      </c>
      <c r="E18" s="16">
        <f t="shared" si="0"/>
        <v>0.91931212630926074</v>
      </c>
      <c r="F18" s="44">
        <v>80443.150000000052</v>
      </c>
      <c r="G18" s="24">
        <f t="shared" si="1"/>
        <v>0.60760739997972935</v>
      </c>
      <c r="H18" s="118">
        <v>64382</v>
      </c>
      <c r="I18" s="118">
        <v>54190.48</v>
      </c>
    </row>
    <row r="19" spans="1:9" x14ac:dyDescent="0.3">
      <c r="A19" s="85" t="s">
        <v>61</v>
      </c>
      <c r="B19" s="19" t="str">
        <f>A19</f>
        <v>Outros</v>
      </c>
      <c r="C19" s="20">
        <v>0</v>
      </c>
      <c r="D19" s="43">
        <v>10700.380000000001</v>
      </c>
      <c r="E19" s="16">
        <f t="shared" si="0"/>
        <v>-1</v>
      </c>
      <c r="F19" s="44">
        <v>0</v>
      </c>
      <c r="G19" s="24">
        <f t="shared" si="1"/>
        <v>0</v>
      </c>
      <c r="H19" s="118">
        <v>16428.100000000002</v>
      </c>
      <c r="I19" s="118">
        <v>20322.919999999998</v>
      </c>
    </row>
    <row r="20" spans="1:9" x14ac:dyDescent="0.3">
      <c r="B20" s="39" t="s">
        <v>62</v>
      </c>
      <c r="C20" s="53">
        <f>SUM(C21:C22)</f>
        <v>944520.0399999998</v>
      </c>
      <c r="D20" s="54">
        <f>SUM(D21:D22)</f>
        <v>673607.43644727825</v>
      </c>
      <c r="E20" s="131">
        <f t="shared" si="0"/>
        <v>0.40218172914117645</v>
      </c>
      <c r="F20" s="55">
        <f>SUM(F21:F22)</f>
        <v>759698.99000000022</v>
      </c>
      <c r="G20" s="132">
        <f t="shared" si="1"/>
        <v>0.24328194776196765</v>
      </c>
      <c r="H20" s="151">
        <f t="shared" ref="H20:I20" si="6">SUM(H21:H22)</f>
        <v>673060.08</v>
      </c>
      <c r="I20" s="151">
        <f t="shared" si="6"/>
        <v>740949.30000000016</v>
      </c>
    </row>
    <row r="21" spans="1:9" s="38" customFormat="1" x14ac:dyDescent="0.3">
      <c r="A21" s="85" t="s">
        <v>63</v>
      </c>
      <c r="B21" s="19" t="str">
        <f>A21</f>
        <v>Serviços contratados</v>
      </c>
      <c r="C21" s="20">
        <v>944520.0399999998</v>
      </c>
      <c r="D21" s="43">
        <v>673607.43644727825</v>
      </c>
      <c r="E21" s="127">
        <f t="shared" si="0"/>
        <v>0.40218172914117645</v>
      </c>
      <c r="F21" s="44">
        <v>759436.49000000022</v>
      </c>
      <c r="G21" s="136">
        <f t="shared" si="1"/>
        <v>0.24371168943962584</v>
      </c>
      <c r="H21" s="118">
        <v>672810.08</v>
      </c>
      <c r="I21" s="118">
        <v>740949.30000000016</v>
      </c>
    </row>
    <row r="22" spans="1:9" x14ac:dyDescent="0.3">
      <c r="A22" s="85" t="s">
        <v>100</v>
      </c>
      <c r="B22" s="19" t="str">
        <f>A22</f>
        <v>Encargos sobre serviços contratados</v>
      </c>
      <c r="C22" s="20">
        <v>0</v>
      </c>
      <c r="D22" s="43">
        <v>0</v>
      </c>
      <c r="E22" s="124">
        <f t="shared" si="0"/>
        <v>0</v>
      </c>
      <c r="F22" s="44">
        <v>262.5</v>
      </c>
      <c r="G22" s="135">
        <f t="shared" si="1"/>
        <v>-1</v>
      </c>
      <c r="H22" s="118">
        <v>250</v>
      </c>
      <c r="I22" s="118">
        <v>0</v>
      </c>
    </row>
    <row r="23" spans="1:9" x14ac:dyDescent="0.3">
      <c r="B23" s="39" t="s">
        <v>64</v>
      </c>
      <c r="C23" s="53">
        <f>SUM(C24:C26)</f>
        <v>4257</v>
      </c>
      <c r="D23" s="54">
        <f>SUM(D24:D26)</f>
        <v>4622.2072336846468</v>
      </c>
      <c r="E23" s="129">
        <f t="shared" si="0"/>
        <v>-7.9011436575836425E-2</v>
      </c>
      <c r="F23" s="55">
        <f>SUM(F24:F26)</f>
        <v>5634.7699999999995</v>
      </c>
      <c r="G23" s="138">
        <f t="shared" si="1"/>
        <v>-0.24451219836834504</v>
      </c>
      <c r="H23" s="151">
        <f t="shared" ref="H23:I23" si="7">SUM(H24:H26)</f>
        <v>4896.5499999999993</v>
      </c>
      <c r="I23" s="151">
        <f t="shared" si="7"/>
        <v>2489.5299999999997</v>
      </c>
    </row>
    <row r="24" spans="1:9" x14ac:dyDescent="0.3">
      <c r="A24" s="85" t="s">
        <v>65</v>
      </c>
      <c r="B24" s="19" t="str">
        <f>A24</f>
        <v>Material de consumo geral</v>
      </c>
      <c r="C24" s="20">
        <v>2501.88</v>
      </c>
      <c r="D24" s="43">
        <v>2736.6745094433672</v>
      </c>
      <c r="E24" s="16">
        <f t="shared" si="0"/>
        <v>-8.5795555384159949E-2</v>
      </c>
      <c r="F24" s="44">
        <v>3025.56</v>
      </c>
      <c r="G24" s="24">
        <f t="shared" si="1"/>
        <v>-0.17308531313211428</v>
      </c>
      <c r="H24" s="118">
        <v>2474.87</v>
      </c>
      <c r="I24" s="118">
        <v>1781.34</v>
      </c>
    </row>
    <row r="25" spans="1:9" x14ac:dyDescent="0.3">
      <c r="A25" s="85" t="s">
        <v>66</v>
      </c>
      <c r="B25" s="19" t="str">
        <f>A25</f>
        <v>Mercadoria de revenda e consumo</v>
      </c>
      <c r="C25" s="20">
        <v>1755.12</v>
      </c>
      <c r="D25" s="43">
        <v>1885.5327242412791</v>
      </c>
      <c r="E25" s="16">
        <f t="shared" si="0"/>
        <v>-6.9164922233718396E-2</v>
      </c>
      <c r="F25" s="44">
        <v>1645.17</v>
      </c>
      <c r="G25" s="24">
        <f t="shared" si="1"/>
        <v>6.6831999124710384E-2</v>
      </c>
      <c r="H25" s="118">
        <v>1503.61</v>
      </c>
      <c r="I25" s="118">
        <v>429.19</v>
      </c>
    </row>
    <row r="26" spans="1:9" x14ac:dyDescent="0.3">
      <c r="A26" s="85" t="s">
        <v>67</v>
      </c>
      <c r="B26" s="56" t="str">
        <f>A26</f>
        <v>Mercadoria de uso geral</v>
      </c>
      <c r="C26" s="20">
        <v>0</v>
      </c>
      <c r="D26" s="58">
        <v>0</v>
      </c>
      <c r="E26" s="16">
        <f t="shared" si="0"/>
        <v>0</v>
      </c>
      <c r="F26" s="59">
        <v>964.04</v>
      </c>
      <c r="G26" s="24">
        <f t="shared" si="1"/>
        <v>-1</v>
      </c>
      <c r="H26" s="118">
        <v>918.07</v>
      </c>
      <c r="I26" s="118">
        <v>279</v>
      </c>
    </row>
    <row r="27" spans="1:9" s="45" customFormat="1" hidden="1" x14ac:dyDescent="0.3">
      <c r="B27" s="61" t="s">
        <v>68</v>
      </c>
      <c r="C27" s="40">
        <f>SUM(C28)</f>
        <v>0</v>
      </c>
      <c r="D27" s="62">
        <f>SUM(D28)</f>
        <v>0.01</v>
      </c>
      <c r="E27" s="16">
        <f t="shared" si="0"/>
        <v>-1</v>
      </c>
      <c r="F27" s="63">
        <f>SUM(F28)</f>
        <v>0</v>
      </c>
      <c r="G27" s="24">
        <f t="shared" si="1"/>
        <v>0</v>
      </c>
      <c r="H27" s="147">
        <f t="shared" ref="H27:I27" si="8">SUM(H28)</f>
        <v>0</v>
      </c>
      <c r="I27" s="147">
        <f t="shared" si="8"/>
        <v>0</v>
      </c>
    </row>
    <row r="28" spans="1:9" hidden="1" x14ac:dyDescent="0.3">
      <c r="B28" s="19" t="s">
        <v>68</v>
      </c>
      <c r="C28" s="20">
        <v>0</v>
      </c>
      <c r="D28" s="43">
        <v>0.01</v>
      </c>
      <c r="E28" s="16">
        <f t="shared" si="0"/>
        <v>-1</v>
      </c>
      <c r="F28" s="44">
        <v>0</v>
      </c>
      <c r="G28" s="24">
        <f t="shared" si="1"/>
        <v>0</v>
      </c>
      <c r="H28" s="118">
        <v>0</v>
      </c>
      <c r="I28" s="118">
        <v>0</v>
      </c>
    </row>
    <row r="29" spans="1:9" hidden="1" x14ac:dyDescent="0.3">
      <c r="B29" s="39" t="s">
        <v>69</v>
      </c>
      <c r="C29" s="14">
        <f>SUM(C30)</f>
        <v>0</v>
      </c>
      <c r="D29" s="101">
        <f>SUM(D30)</f>
        <v>0</v>
      </c>
      <c r="E29" s="16">
        <f t="shared" si="0"/>
        <v>0</v>
      </c>
      <c r="F29" s="86">
        <f>SUM(F30)</f>
        <v>0</v>
      </c>
      <c r="G29" s="24">
        <f t="shared" si="1"/>
        <v>0</v>
      </c>
      <c r="H29" s="153">
        <f t="shared" ref="H29:I29" si="9">SUM(H30)</f>
        <v>0</v>
      </c>
      <c r="I29" s="153">
        <f t="shared" si="9"/>
        <v>0</v>
      </c>
    </row>
    <row r="30" spans="1:9" hidden="1" x14ac:dyDescent="0.3">
      <c r="B30" s="19" t="s">
        <v>70</v>
      </c>
      <c r="C30" s="20">
        <v>0</v>
      </c>
      <c r="D30" s="43">
        <v>0</v>
      </c>
      <c r="E30" s="16">
        <f t="shared" si="0"/>
        <v>0</v>
      </c>
      <c r="F30" s="44">
        <v>0</v>
      </c>
      <c r="G30" s="24">
        <f t="shared" si="1"/>
        <v>0</v>
      </c>
      <c r="H30" s="118">
        <v>0</v>
      </c>
      <c r="I30" s="118">
        <v>0</v>
      </c>
    </row>
    <row r="31" spans="1:9" x14ac:dyDescent="0.3">
      <c r="B31" s="39" t="s">
        <v>71</v>
      </c>
      <c r="C31" s="53">
        <f>SUM(C32:C35)</f>
        <v>147299.56</v>
      </c>
      <c r="D31" s="54">
        <f>SUM(D32:D35)</f>
        <v>142705.6145819785</v>
      </c>
      <c r="E31" s="131">
        <f t="shared" si="0"/>
        <v>3.2191763663107054E-2</v>
      </c>
      <c r="F31" s="55">
        <f>SUM(F32:F35)</f>
        <v>139966.44</v>
      </c>
      <c r="G31" s="137">
        <f t="shared" si="1"/>
        <v>5.2391987679332175E-2</v>
      </c>
      <c r="H31" s="151">
        <f t="shared" ref="H31:I31" si="10">SUM(H32:H35)</f>
        <v>60275.51</v>
      </c>
      <c r="I31" s="151">
        <f t="shared" si="10"/>
        <v>52986.42</v>
      </c>
    </row>
    <row r="32" spans="1:9" x14ac:dyDescent="0.3">
      <c r="A32" s="78" t="s">
        <v>73</v>
      </c>
      <c r="B32" s="19" t="str">
        <f>A32</f>
        <v>Outros gastos gerais</v>
      </c>
      <c r="C32" s="20">
        <v>138259</v>
      </c>
      <c r="D32" s="43">
        <v>132073.57921474089</v>
      </c>
      <c r="E32" s="127">
        <f t="shared" si="0"/>
        <v>4.6833142722679799E-2</v>
      </c>
      <c r="F32" s="44">
        <v>131413.75</v>
      </c>
      <c r="G32" s="136">
        <f t="shared" si="1"/>
        <v>5.2089298113781934E-2</v>
      </c>
      <c r="H32" s="118">
        <v>45810.07</v>
      </c>
      <c r="I32" s="118">
        <v>37637.42</v>
      </c>
    </row>
    <row r="33" spans="1:9" x14ac:dyDescent="0.3">
      <c r="A33" s="78" t="s">
        <v>72</v>
      </c>
      <c r="B33" s="19" t="str">
        <f>A33</f>
        <v>Locomoções gerais - viagens - estadias</v>
      </c>
      <c r="C33" s="20">
        <v>9040.56</v>
      </c>
      <c r="D33" s="43">
        <v>10632.035367237619</v>
      </c>
      <c r="E33" s="127">
        <f t="shared" si="0"/>
        <v>-0.14968680146999092</v>
      </c>
      <c r="F33" s="44">
        <v>8552.69</v>
      </c>
      <c r="G33" s="136">
        <f t="shared" si="1"/>
        <v>5.7042871891767266E-2</v>
      </c>
      <c r="H33" s="118">
        <v>14465.43</v>
      </c>
      <c r="I33" s="118">
        <v>14342.670000000002</v>
      </c>
    </row>
    <row r="34" spans="1:9" x14ac:dyDescent="0.3">
      <c r="A34" s="78" t="s">
        <v>216</v>
      </c>
      <c r="B34" s="19" t="str">
        <f>A34</f>
        <v>Despesa de provisão para contingência</v>
      </c>
      <c r="C34" s="20">
        <v>0</v>
      </c>
      <c r="D34" s="43">
        <v>0</v>
      </c>
      <c r="E34" s="127">
        <f t="shared" si="0"/>
        <v>0</v>
      </c>
      <c r="F34" s="44">
        <v>0</v>
      </c>
      <c r="G34" s="136">
        <f t="shared" si="1"/>
        <v>0</v>
      </c>
      <c r="H34" s="118">
        <v>0</v>
      </c>
      <c r="I34" s="118">
        <v>0</v>
      </c>
    </row>
    <row r="35" spans="1:9" x14ac:dyDescent="0.3">
      <c r="A35" s="78" t="s">
        <v>82</v>
      </c>
      <c r="B35" s="56" t="str">
        <f>A35</f>
        <v>Despesas financeiras</v>
      </c>
      <c r="C35" s="20">
        <v>0</v>
      </c>
      <c r="D35" s="58">
        <v>0</v>
      </c>
      <c r="E35" s="124">
        <f t="shared" si="0"/>
        <v>0</v>
      </c>
      <c r="F35" s="59">
        <v>0</v>
      </c>
      <c r="G35" s="135">
        <f t="shared" si="1"/>
        <v>0</v>
      </c>
      <c r="H35" s="118">
        <v>0.01</v>
      </c>
      <c r="I35" s="118">
        <v>1006.33</v>
      </c>
    </row>
    <row r="36" spans="1:9" s="45" customFormat="1" x14ac:dyDescent="0.3">
      <c r="A36" s="85"/>
      <c r="B36" s="72" t="s">
        <v>83</v>
      </c>
      <c r="C36" s="53">
        <f>SUM(C37)</f>
        <v>0</v>
      </c>
      <c r="D36" s="65">
        <f>SUM(D37)</f>
        <v>0</v>
      </c>
      <c r="E36" s="129">
        <f t="shared" si="0"/>
        <v>0</v>
      </c>
      <c r="F36" s="66">
        <f>SUM(F37)</f>
        <v>348.6</v>
      </c>
      <c r="G36" s="138">
        <f t="shared" si="1"/>
        <v>-1</v>
      </c>
      <c r="H36" s="151">
        <f t="shared" ref="H36:I36" si="11">SUM(H37)</f>
        <v>332</v>
      </c>
      <c r="I36" s="151">
        <f t="shared" si="11"/>
        <v>8489.66</v>
      </c>
    </row>
    <row r="37" spans="1:9" x14ac:dyDescent="0.3">
      <c r="A37" s="85" t="s">
        <v>83</v>
      </c>
      <c r="B37" s="73" t="str">
        <f>A37</f>
        <v>Tributários fiscais e taxas</v>
      </c>
      <c r="C37" s="20">
        <v>0</v>
      </c>
      <c r="D37" s="79">
        <v>0</v>
      </c>
      <c r="E37" s="16">
        <f t="shared" si="0"/>
        <v>0</v>
      </c>
      <c r="F37" s="70">
        <v>348.6</v>
      </c>
      <c r="G37" s="24">
        <f t="shared" si="1"/>
        <v>-1</v>
      </c>
      <c r="H37" s="118">
        <v>332</v>
      </c>
      <c r="I37" s="118">
        <v>8489.66</v>
      </c>
    </row>
    <row r="38" spans="1:9" x14ac:dyDescent="0.3">
      <c r="B38" s="26" t="s">
        <v>51</v>
      </c>
      <c r="C38" s="51">
        <f>SUM(C36+C31+C27+C23+C20+C15)</f>
        <v>2011743.6309786532</v>
      </c>
      <c r="D38" s="49">
        <f>SUM(D36+D31+D27+D23+D20+D15)</f>
        <v>1658823.4056271804</v>
      </c>
      <c r="E38" s="121">
        <f t="shared" si="0"/>
        <v>0.21275334321560169</v>
      </c>
      <c r="F38" s="49">
        <f>SUM(F36+F31+F27+F23+F20+F15)</f>
        <v>1742198.3600000003</v>
      </c>
      <c r="G38" s="120">
        <f t="shared" si="1"/>
        <v>0.15471560366906378</v>
      </c>
      <c r="H38" s="150">
        <f t="shared" ref="H38:I38" si="12">SUM(H36+H31+H27+H23+H20+H15)</f>
        <v>1535840.27</v>
      </c>
      <c r="I38" s="142">
        <f t="shared" si="12"/>
        <v>1492959.7600000002</v>
      </c>
    </row>
    <row r="39" spans="1:9" x14ac:dyDescent="0.3">
      <c r="B39" s="74"/>
      <c r="C39" s="76"/>
      <c r="D39" s="76"/>
      <c r="E39" s="76"/>
      <c r="F39" s="76"/>
      <c r="G39" s="76"/>
      <c r="H39" s="76"/>
      <c r="I39" s="76"/>
    </row>
    <row r="40" spans="1:9" x14ac:dyDescent="0.3">
      <c r="B40" s="5"/>
    </row>
  </sheetData>
  <mergeCells count="3">
    <mergeCell ref="B3:B4"/>
    <mergeCell ref="B8:B9"/>
    <mergeCell ref="B13:B1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F20 F23 F27:F31 F36 C36:D36 C27:D31 C23:D23 C20:D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4"/>
  <sheetViews>
    <sheetView showGridLines="0" showRowColHeaders="0" topLeftCell="B1" zoomScaleNormal="100" workbookViewId="0">
      <selection activeCell="F24" sqref="F24"/>
    </sheetView>
  </sheetViews>
  <sheetFormatPr defaultColWidth="8.88671875" defaultRowHeight="14.4" x14ac:dyDescent="0.3"/>
  <cols>
    <col min="1" max="1" width="21.6640625" hidden="1" customWidth="1"/>
    <col min="2" max="2" width="34.88671875" customWidth="1"/>
    <col min="3" max="4" width="16.44140625" style="5" customWidth="1"/>
    <col min="5" max="5" width="16.44140625" style="6" customWidth="1"/>
    <col min="6" max="6" width="16.44140625" style="5" customWidth="1"/>
    <col min="7" max="7" width="16.44140625" style="6" customWidth="1"/>
    <col min="8" max="9" width="16.44140625" customWidth="1"/>
  </cols>
  <sheetData>
    <row r="1" spans="1:9" s="1" customFormat="1" ht="18" x14ac:dyDescent="0.35">
      <c r="A1" s="1" t="s">
        <v>0</v>
      </c>
      <c r="B1" s="2" t="s">
        <v>1</v>
      </c>
      <c r="C1" s="116"/>
      <c r="D1" s="116"/>
      <c r="E1" s="117"/>
      <c r="F1" s="116"/>
      <c r="G1" s="4"/>
    </row>
    <row r="2" spans="1:9" x14ac:dyDescent="0.3">
      <c r="A2" t="s">
        <v>2</v>
      </c>
      <c r="H2" s="5"/>
      <c r="I2" s="5"/>
    </row>
    <row r="3" spans="1:9" x14ac:dyDescent="0.3">
      <c r="B3" s="202" t="s">
        <v>3</v>
      </c>
      <c r="C3" s="8"/>
      <c r="D3" s="8"/>
      <c r="E3" s="9"/>
      <c r="F3" s="8"/>
      <c r="G3" s="9"/>
      <c r="H3" s="8"/>
      <c r="I3" s="8"/>
    </row>
    <row r="4" spans="1:9" ht="43.2" x14ac:dyDescent="0.3">
      <c r="A4" t="s">
        <v>4</v>
      </c>
      <c r="B4" s="203"/>
      <c r="C4" s="10" t="s">
        <v>44</v>
      </c>
      <c r="D4" s="10" t="s">
        <v>5</v>
      </c>
      <c r="E4" s="11" t="s">
        <v>6</v>
      </c>
      <c r="F4" s="10" t="s">
        <v>7</v>
      </c>
      <c r="G4" s="12" t="s">
        <v>8</v>
      </c>
      <c r="H4" s="10" t="s">
        <v>382</v>
      </c>
      <c r="I4" s="10" t="s">
        <v>197</v>
      </c>
    </row>
    <row r="5" spans="1:9" x14ac:dyDescent="0.3">
      <c r="A5" t="s">
        <v>10</v>
      </c>
      <c r="B5" s="13" t="s">
        <v>11</v>
      </c>
      <c r="C5" s="14">
        <v>47770539</v>
      </c>
      <c r="D5" s="15">
        <v>42838643.023995526</v>
      </c>
      <c r="E5" s="16">
        <f>IFERROR(C5/D5-1,0)</f>
        <v>0.11512726892964231</v>
      </c>
      <c r="F5" s="15">
        <v>42645303.089999929</v>
      </c>
      <c r="G5" s="17">
        <f>IFERROR(C5/F5-1,0)</f>
        <v>0.12018289327627985</v>
      </c>
      <c r="H5" s="153">
        <v>39098280.379999951</v>
      </c>
      <c r="I5" s="153">
        <v>37910588.909999989</v>
      </c>
    </row>
    <row r="6" spans="1:9" x14ac:dyDescent="0.3">
      <c r="A6" t="s">
        <v>13</v>
      </c>
      <c r="B6" s="19" t="s">
        <v>14</v>
      </c>
      <c r="C6" s="20">
        <v>2791687.4505538037</v>
      </c>
      <c r="D6" s="21">
        <v>2188497.8255884605</v>
      </c>
      <c r="E6" s="16">
        <f t="shared" ref="E6:E22" si="0">IFERROR(C6/D6-1,0)</f>
        <v>0.2756181056762772</v>
      </c>
      <c r="F6" s="21">
        <v>2481623.5800000019</v>
      </c>
      <c r="G6" s="22">
        <f t="shared" ref="G6:G21" si="1">IFERROR(C6/F6-1,0)</f>
        <v>0.12494395727566454</v>
      </c>
      <c r="H6" s="118">
        <v>2340288.7700000014</v>
      </c>
      <c r="I6" s="118">
        <v>2299559.19</v>
      </c>
    </row>
    <row r="7" spans="1:9" x14ac:dyDescent="0.3">
      <c r="A7" t="s">
        <v>15</v>
      </c>
      <c r="B7" s="19" t="s">
        <v>16</v>
      </c>
      <c r="C7" s="20">
        <v>13890062</v>
      </c>
      <c r="D7" s="21">
        <v>12768403.940892754</v>
      </c>
      <c r="E7" s="16">
        <f t="shared" si="0"/>
        <v>8.7846379570978739E-2</v>
      </c>
      <c r="F7" s="21">
        <v>12269867.409999987</v>
      </c>
      <c r="G7" s="22">
        <f t="shared" si="1"/>
        <v>0.13204662575893433</v>
      </c>
      <c r="H7" s="118">
        <v>11735851.11999999</v>
      </c>
      <c r="I7" s="118">
        <v>10757744.199999999</v>
      </c>
    </row>
    <row r="8" spans="1:9" x14ac:dyDescent="0.3">
      <c r="A8" t="s">
        <v>18</v>
      </c>
      <c r="B8" s="19" t="s">
        <v>392</v>
      </c>
      <c r="C8" s="20">
        <v>34624116.015412003</v>
      </c>
      <c r="D8" s="21">
        <v>32071593.808838166</v>
      </c>
      <c r="E8" s="16">
        <f t="shared" si="0"/>
        <v>7.9588255631699356E-2</v>
      </c>
      <c r="F8" s="21">
        <v>32584587.409999888</v>
      </c>
      <c r="G8" s="22">
        <f>IFERROR(C8/F8-1,0)</f>
        <v>6.2591819247225011E-2</v>
      </c>
      <c r="H8" s="118">
        <v>30713172.379999988</v>
      </c>
      <c r="I8" s="118">
        <v>27477327.240000006</v>
      </c>
    </row>
    <row r="9" spans="1:9" x14ac:dyDescent="0.3">
      <c r="A9" t="s">
        <v>19</v>
      </c>
      <c r="B9" s="19" t="s">
        <v>20</v>
      </c>
      <c r="C9" s="20">
        <v>12314186</v>
      </c>
      <c r="D9" s="21">
        <v>9782862.6889088396</v>
      </c>
      <c r="E9" s="16">
        <f t="shared" si="0"/>
        <v>0.25875077588086826</v>
      </c>
      <c r="F9" s="21">
        <v>10111318.110000005</v>
      </c>
      <c r="G9" s="22">
        <f>IFERROR(C9/F9-1,0)</f>
        <v>0.21786159490139845</v>
      </c>
      <c r="H9" s="118">
        <v>8847544.6899999902</v>
      </c>
      <c r="I9" s="118">
        <v>7753970.8000000007</v>
      </c>
    </row>
    <row r="10" spans="1:9" x14ac:dyDescent="0.3">
      <c r="A10" t="s">
        <v>22</v>
      </c>
      <c r="B10" s="19" t="s">
        <v>23</v>
      </c>
      <c r="C10" s="20">
        <v>22048562</v>
      </c>
      <c r="D10" s="21">
        <v>22703460.886961449</v>
      </c>
      <c r="E10" s="16">
        <f t="shared" si="0"/>
        <v>-2.8845773348042947E-2</v>
      </c>
      <c r="F10" s="21">
        <v>20674141.940000039</v>
      </c>
      <c r="G10" s="22">
        <f>IFERROR(C10/F10-1,0)</f>
        <v>6.6480150130959093E-2</v>
      </c>
      <c r="H10" s="118">
        <v>21462622.649999961</v>
      </c>
      <c r="I10" s="118">
        <v>21750353.759999998</v>
      </c>
    </row>
    <row r="11" spans="1:9" x14ac:dyDescent="0.3">
      <c r="A11" t="s">
        <v>25</v>
      </c>
      <c r="B11" s="19" t="s">
        <v>26</v>
      </c>
      <c r="C11" s="20">
        <v>16146838.25477959</v>
      </c>
      <c r="D11" s="21">
        <v>15065065.106007073</v>
      </c>
      <c r="E11" s="16">
        <f t="shared" si="0"/>
        <v>7.1806735726695825E-2</v>
      </c>
      <c r="F11" s="21">
        <v>13917363.34</v>
      </c>
      <c r="G11" s="22">
        <f>IFERROR(C11/F11-1,0)</f>
        <v>0.16019377092583609</v>
      </c>
      <c r="H11" s="118">
        <v>11915822.739999993</v>
      </c>
      <c r="I11" s="118">
        <v>8020141.0500000007</v>
      </c>
    </row>
    <row r="12" spans="1:9" x14ac:dyDescent="0.3">
      <c r="A12" t="s">
        <v>28</v>
      </c>
      <c r="B12" s="23" t="s">
        <v>29</v>
      </c>
      <c r="C12" s="20">
        <v>16434819.18522956</v>
      </c>
      <c r="D12" s="21">
        <v>15393783.370222716</v>
      </c>
      <c r="E12" s="16">
        <f t="shared" si="0"/>
        <v>6.7627027740340573E-2</v>
      </c>
      <c r="F12" s="21">
        <v>15632392.769999979</v>
      </c>
      <c r="G12" s="22">
        <f>IFERROR(C12/F12-1,0)</f>
        <v>5.1331003963098532E-2</v>
      </c>
      <c r="H12" s="118">
        <v>14471916.710000014</v>
      </c>
      <c r="I12" s="118">
        <v>13273512.430000005</v>
      </c>
    </row>
    <row r="13" spans="1:9" x14ac:dyDescent="0.3">
      <c r="A13" t="s">
        <v>31</v>
      </c>
      <c r="B13" s="19" t="s">
        <v>32</v>
      </c>
      <c r="C13" s="20">
        <v>2011744</v>
      </c>
      <c r="D13" s="21">
        <v>1658823.3956271792</v>
      </c>
      <c r="E13" s="16">
        <f t="shared" si="0"/>
        <v>0.21275357298622266</v>
      </c>
      <c r="F13" s="21">
        <v>1742198.3599999994</v>
      </c>
      <c r="G13" s="24">
        <f t="shared" si="1"/>
        <v>0.15471581548268754</v>
      </c>
      <c r="H13" s="118">
        <v>1535840.2699999996</v>
      </c>
      <c r="I13" s="118">
        <v>1492959.7600000002</v>
      </c>
    </row>
    <row r="14" spans="1:9" x14ac:dyDescent="0.3">
      <c r="A14" t="s">
        <v>21</v>
      </c>
      <c r="B14" s="19" t="s">
        <v>33</v>
      </c>
      <c r="C14" s="20">
        <v>9233523.9184163213</v>
      </c>
      <c r="D14" s="21">
        <v>6893537.3431425989</v>
      </c>
      <c r="E14" s="16">
        <f t="shared" si="0"/>
        <v>0.3394464204363008</v>
      </c>
      <c r="F14" s="21">
        <v>6669758.0100000007</v>
      </c>
      <c r="G14" s="24">
        <f t="shared" si="1"/>
        <v>0.38438664559830404</v>
      </c>
      <c r="H14" s="118">
        <v>6263452.3799999971</v>
      </c>
      <c r="I14" s="118">
        <v>3698395.58</v>
      </c>
    </row>
    <row r="15" spans="1:9" x14ac:dyDescent="0.3">
      <c r="A15" t="s">
        <v>34</v>
      </c>
      <c r="B15" s="19" t="s">
        <v>35</v>
      </c>
      <c r="C15" s="20">
        <v>36993426</v>
      </c>
      <c r="D15" s="21">
        <v>35103939.525255613</v>
      </c>
      <c r="E15" s="16">
        <f t="shared" si="0"/>
        <v>5.3825482276283809E-2</v>
      </c>
      <c r="F15" s="21">
        <v>34710026.620000005</v>
      </c>
      <c r="G15" s="22">
        <f t="shared" si="1"/>
        <v>6.5785008032356096E-2</v>
      </c>
      <c r="H15" s="118">
        <v>33265140.709999971</v>
      </c>
      <c r="I15" s="118">
        <v>29929990.809999995</v>
      </c>
    </row>
    <row r="16" spans="1:9" x14ac:dyDescent="0.3">
      <c r="A16" t="s">
        <v>24</v>
      </c>
      <c r="B16" s="19" t="s">
        <v>36</v>
      </c>
      <c r="C16" s="20">
        <v>19822689.219888039</v>
      </c>
      <c r="D16" s="21">
        <v>18448600.091825727</v>
      </c>
      <c r="E16" s="16">
        <f t="shared" si="0"/>
        <v>7.4482026886752761E-2</v>
      </c>
      <c r="F16" s="21">
        <v>18665130.009999976</v>
      </c>
      <c r="G16" s="24">
        <f t="shared" si="1"/>
        <v>6.2017205841475187E-2</v>
      </c>
      <c r="H16" s="118">
        <v>17255087.239999939</v>
      </c>
      <c r="I16" s="118">
        <v>16849961.809999987</v>
      </c>
    </row>
    <row r="17" spans="1:9" x14ac:dyDescent="0.3">
      <c r="A17" t="s">
        <v>12</v>
      </c>
      <c r="B17" s="19" t="s">
        <v>12</v>
      </c>
      <c r="C17" s="20">
        <v>9048392</v>
      </c>
      <c r="D17" s="21">
        <v>7610938.8859138032</v>
      </c>
      <c r="E17" s="16">
        <f t="shared" si="0"/>
        <v>0.18886672664611859</v>
      </c>
      <c r="F17" s="21">
        <v>7586710.7699999968</v>
      </c>
      <c r="G17" s="22">
        <f t="shared" si="1"/>
        <v>0.19266336549692986</v>
      </c>
      <c r="H17" s="118">
        <v>7120619.4600000009</v>
      </c>
      <c r="I17" s="118">
        <v>6660187.4799999995</v>
      </c>
    </row>
    <row r="18" spans="1:9" x14ac:dyDescent="0.3">
      <c r="A18" t="s">
        <v>37</v>
      </c>
      <c r="B18" s="19" t="s">
        <v>37</v>
      </c>
      <c r="C18" s="20">
        <v>5429282.1351106698</v>
      </c>
      <c r="D18" s="21">
        <v>4670439.9198945919</v>
      </c>
      <c r="E18" s="16">
        <f t="shared" si="0"/>
        <v>0.16247767410167313</v>
      </c>
      <c r="F18" s="21">
        <v>4927837.1599999927</v>
      </c>
      <c r="G18" s="24">
        <f t="shared" si="1"/>
        <v>0.10175761877461831</v>
      </c>
      <c r="H18" s="118">
        <v>4326535.5300000012</v>
      </c>
      <c r="I18" s="118">
        <v>3690136.8800000013</v>
      </c>
    </row>
    <row r="19" spans="1:9" x14ac:dyDescent="0.3">
      <c r="A19" t="s">
        <v>27</v>
      </c>
      <c r="B19" s="19" t="s">
        <v>38</v>
      </c>
      <c r="C19" s="20">
        <v>20193526</v>
      </c>
      <c r="D19" s="21">
        <v>15829593.292510616</v>
      </c>
      <c r="E19" s="16">
        <f t="shared" si="0"/>
        <v>0.27568192226101429</v>
      </c>
      <c r="F19" s="21">
        <v>13870597.769999968</v>
      </c>
      <c r="G19" s="24">
        <f t="shared" si="1"/>
        <v>0.45585117057287761</v>
      </c>
      <c r="H19" s="118">
        <v>12592735.009999989</v>
      </c>
      <c r="I19" s="118">
        <v>11537356.880000001</v>
      </c>
    </row>
    <row r="20" spans="1:9" x14ac:dyDescent="0.3">
      <c r="A20" t="s">
        <v>30</v>
      </c>
      <c r="B20" s="19" t="s">
        <v>39</v>
      </c>
      <c r="C20" s="20">
        <v>293469.20555158862</v>
      </c>
      <c r="D20" s="21">
        <v>137177.46535485267</v>
      </c>
      <c r="E20" s="16">
        <f t="shared" si="0"/>
        <v>1.1393397581187128</v>
      </c>
      <c r="F20" s="21">
        <v>176834.08999999988</v>
      </c>
      <c r="G20" s="22">
        <f t="shared" si="1"/>
        <v>0.65957370296411066</v>
      </c>
      <c r="H20" s="118">
        <v>39930.360000000015</v>
      </c>
      <c r="I20" s="118">
        <v>0</v>
      </c>
    </row>
    <row r="21" spans="1:9" x14ac:dyDescent="0.3">
      <c r="A21" t="s">
        <v>40</v>
      </c>
      <c r="B21" s="19" t="s">
        <v>41</v>
      </c>
      <c r="C21" s="20">
        <v>17491232</v>
      </c>
      <c r="D21" s="21">
        <v>16619729.67482738</v>
      </c>
      <c r="E21" s="16">
        <f t="shared" si="0"/>
        <v>5.2437815910605146E-2</v>
      </c>
      <c r="F21" s="21">
        <v>15693606.250000011</v>
      </c>
      <c r="G21" s="22">
        <f t="shared" si="1"/>
        <v>0.11454510336016543</v>
      </c>
      <c r="H21" s="118">
        <v>16000478.870000005</v>
      </c>
      <c r="I21" s="118">
        <v>13521549.990000006</v>
      </c>
    </row>
    <row r="22" spans="1:9" x14ac:dyDescent="0.3">
      <c r="A22" t="s">
        <v>17</v>
      </c>
      <c r="B22" s="19" t="s">
        <v>17</v>
      </c>
      <c r="C22" s="20">
        <v>26907269</v>
      </c>
      <c r="D22" s="21">
        <v>25100791.938449781</v>
      </c>
      <c r="E22" s="16">
        <f t="shared" si="0"/>
        <v>7.1968926955767731E-2</v>
      </c>
      <c r="F22" s="21">
        <v>20417239.950000003</v>
      </c>
      <c r="G22" s="22">
        <f>IFERROR(C22/F22-1,0)</f>
        <v>0.31787004834607901</v>
      </c>
      <c r="H22" s="118">
        <v>18628728.209999997</v>
      </c>
      <c r="I22" s="118">
        <v>19289152.449999996</v>
      </c>
    </row>
    <row r="23" spans="1:9" s="25" customFormat="1" x14ac:dyDescent="0.3">
      <c r="B23" s="26" t="s">
        <v>42</v>
      </c>
      <c r="C23" s="27">
        <f>SUM(C5:C22)</f>
        <v>313445363.38494152</v>
      </c>
      <c r="D23" s="28">
        <f>SUM(D5:D22)</f>
        <v>284885882.18421715</v>
      </c>
      <c r="E23" s="29">
        <f>IFERROR(C23/D23-1,0)</f>
        <v>0.10024884694797476</v>
      </c>
      <c r="F23" s="28">
        <f>SUM(F5:F22)</f>
        <v>274776536.63999981</v>
      </c>
      <c r="G23" s="30">
        <f>IFERROR(C23/F23-1,0)</f>
        <v>0.14072827038941793</v>
      </c>
      <c r="H23" s="143">
        <f t="shared" ref="H23:I23" si="2">SUM(H5:H22)</f>
        <v>257614047.47999984</v>
      </c>
      <c r="I23" s="143">
        <f t="shared" si="2"/>
        <v>235912889.22</v>
      </c>
    </row>
    <row r="24" spans="1:9" x14ac:dyDescent="0.3">
      <c r="B24" s="31"/>
      <c r="H24" s="7"/>
    </row>
  </sheetData>
  <mergeCells count="1">
    <mergeCell ref="B3:B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E23:G23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9"/>
  <sheetViews>
    <sheetView showGridLines="0" showRowColHeaders="0" topLeftCell="B1" workbookViewId="0">
      <selection activeCell="I2" sqref="I2"/>
    </sheetView>
  </sheetViews>
  <sheetFormatPr defaultColWidth="9.109375" defaultRowHeight="14.4" x14ac:dyDescent="0.3"/>
  <cols>
    <col min="1" max="1" width="26.88671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380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85" t="s">
        <v>217</v>
      </c>
      <c r="B5" s="39" t="s">
        <v>217</v>
      </c>
      <c r="C5" s="40">
        <v>5150687.4500512993</v>
      </c>
      <c r="D5" s="41">
        <v>3396534.8581687873</v>
      </c>
      <c r="E5" s="129">
        <f>IFERROR(C5/D5-1,0)</f>
        <v>0.51645358140921549</v>
      </c>
      <c r="F5" s="42">
        <v>3063878.0999999982</v>
      </c>
      <c r="G5" s="133">
        <f>IFERROR(C5/F5-1,0)</f>
        <v>0.68110064498039335</v>
      </c>
      <c r="H5" s="147">
        <v>2937509.4800000004</v>
      </c>
      <c r="I5" s="147">
        <v>921188.28000000014</v>
      </c>
    </row>
    <row r="6" spans="1:9" s="38" customFormat="1" x14ac:dyDescent="0.3">
      <c r="A6" s="85" t="s">
        <v>218</v>
      </c>
      <c r="B6" s="19" t="str">
        <f>A6</f>
        <v>Comunicação</v>
      </c>
      <c r="C6" s="20">
        <v>4082836.4683650183</v>
      </c>
      <c r="D6" s="79">
        <v>3497002.4849738083</v>
      </c>
      <c r="E6" s="16">
        <f t="shared" ref="E6:E39" si="0">IFERROR(C6/D6-1,0)</f>
        <v>0.16752461169486343</v>
      </c>
      <c r="F6" s="70">
        <v>3605879.9099999997</v>
      </c>
      <c r="G6" s="22">
        <f t="shared" ref="G6:G39" si="1">IFERROR(C6/F6-1,0)</f>
        <v>0.13227189209554635</v>
      </c>
      <c r="H6" s="118">
        <v>3325942.9</v>
      </c>
      <c r="I6" s="118">
        <v>2777207.3</v>
      </c>
    </row>
    <row r="7" spans="1:9" x14ac:dyDescent="0.3">
      <c r="B7" s="46" t="s">
        <v>51</v>
      </c>
      <c r="C7" s="51">
        <f>SUM(C5:C6)</f>
        <v>9233523.9184163176</v>
      </c>
      <c r="D7" s="49">
        <f>SUM(D5:D6)</f>
        <v>6893537.3431425951</v>
      </c>
      <c r="E7" s="121">
        <f t="shared" si="0"/>
        <v>0.33944642043630102</v>
      </c>
      <c r="F7" s="49">
        <f>SUM(F5:F6)</f>
        <v>6669758.0099999979</v>
      </c>
      <c r="G7" s="122">
        <f t="shared" si="1"/>
        <v>0.38438664559830427</v>
      </c>
      <c r="H7" s="150">
        <f t="shared" ref="H7:I7" si="2">SUM(H5:H6)</f>
        <v>6263452.3800000008</v>
      </c>
      <c r="I7" s="142">
        <f t="shared" si="2"/>
        <v>3698395.58</v>
      </c>
    </row>
    <row r="8" spans="1:9" x14ac:dyDescent="0.3">
      <c r="B8" s="38"/>
      <c r="C8" s="50"/>
      <c r="D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tr">
        <f>'23-Despesas '!F$4</f>
        <v>Orçamento 2025</v>
      </c>
      <c r="I10" s="10" t="str">
        <f>'23-Despesas '!G$4</f>
        <v>Variação
Orç 2026 vs Orç 2025</v>
      </c>
    </row>
    <row r="11" spans="1:9" x14ac:dyDescent="0.3">
      <c r="A11" s="78" t="s">
        <v>219</v>
      </c>
      <c r="B11" s="19" t="str">
        <f>A11</f>
        <v>Marketing Esportivo</v>
      </c>
      <c r="C11" s="20">
        <v>2882438.7127382709</v>
      </c>
      <c r="D11" s="43">
        <v>2025425.5934993727</v>
      </c>
      <c r="E11" s="16">
        <f t="shared" si="0"/>
        <v>0.42312742664528979</v>
      </c>
      <c r="F11" s="44">
        <v>2105626.2499999981</v>
      </c>
      <c r="G11" s="22">
        <f>IFERROR(C11/F11-1,0)</f>
        <v>0.36892229223409112</v>
      </c>
      <c r="H11" s="118">
        <v>2028503.2699999998</v>
      </c>
      <c r="I11" s="118">
        <v>166121.30000000002</v>
      </c>
    </row>
    <row r="12" spans="1:9" x14ac:dyDescent="0.3">
      <c r="A12" s="78" t="s">
        <v>220</v>
      </c>
      <c r="B12" s="19" t="str">
        <f>A12</f>
        <v>Branding</v>
      </c>
      <c r="C12" s="20">
        <v>2268248.7373130308</v>
      </c>
      <c r="D12" s="43">
        <v>1371109.2646694167</v>
      </c>
      <c r="E12" s="16">
        <f t="shared" si="0"/>
        <v>0.65431654191317867</v>
      </c>
      <c r="F12" s="44">
        <v>958251.85000000009</v>
      </c>
      <c r="G12" s="22">
        <f>IFERROR(C12/F12-1,0)</f>
        <v>1.3670695102890025</v>
      </c>
      <c r="H12" s="118">
        <v>909006.20999999973</v>
      </c>
      <c r="I12" s="118">
        <v>755066.9800000001</v>
      </c>
    </row>
    <row r="13" spans="1:9" x14ac:dyDescent="0.3">
      <c r="B13" s="46" t="s">
        <v>51</v>
      </c>
      <c r="C13" s="51">
        <f>SUM(C11:C12)</f>
        <v>5150687.4500513021</v>
      </c>
      <c r="D13" s="28">
        <f>SUM(D11:D12)</f>
        <v>3396534.8581687892</v>
      </c>
      <c r="E13" s="121">
        <f t="shared" si="0"/>
        <v>0.51645358140921549</v>
      </c>
      <c r="F13" s="28">
        <f>SUM(F11:F12)</f>
        <v>3063878.0999999982</v>
      </c>
      <c r="G13" s="120">
        <f t="shared" si="1"/>
        <v>0.68110064498039424</v>
      </c>
      <c r="H13" s="150">
        <f t="shared" ref="H13:I13" si="3">SUM(H11:H12)</f>
        <v>2937509.4799999995</v>
      </c>
      <c r="I13" s="142">
        <f t="shared" si="3"/>
        <v>921188.28000000014</v>
      </c>
    </row>
    <row r="14" spans="1:9" x14ac:dyDescent="0.3">
      <c r="B14" s="38"/>
      <c r="C14" s="50"/>
      <c r="D14" s="50"/>
      <c r="H14" s="50"/>
      <c r="I14" s="50"/>
    </row>
    <row r="15" spans="1:9" x14ac:dyDescent="0.3">
      <c r="B15" s="202" t="s">
        <v>56</v>
      </c>
      <c r="C15" s="8"/>
      <c r="D15" s="8"/>
      <c r="E15" s="36"/>
      <c r="F15" s="36"/>
      <c r="G15" s="36"/>
      <c r="H15" s="8"/>
      <c r="I15" s="8"/>
    </row>
    <row r="16" spans="1:9" ht="43.2" x14ac:dyDescent="0.3">
      <c r="B16" s="203"/>
      <c r="C16" s="10" t="str">
        <f>'23-Despesas '!C$4</f>
        <v>Orçamento 2026</v>
      </c>
      <c r="D16" s="10" t="str">
        <f>'23-Despesas '!D$4</f>
        <v>Projeção 2025</v>
      </c>
      <c r="E16" s="11" t="s">
        <v>6</v>
      </c>
      <c r="F16" s="37" t="str">
        <f>'23-Despesas '!F$4</f>
        <v>Orçamento 2025</v>
      </c>
      <c r="G16" s="12" t="s">
        <v>8</v>
      </c>
      <c r="H16" s="10" t="str">
        <f>'23-Despesas '!F$4</f>
        <v>Orçamento 2025</v>
      </c>
      <c r="I16" s="10" t="str">
        <f>'23-Despesas '!G$4</f>
        <v>Variação
Orç 2026 vs Orç 2025</v>
      </c>
    </row>
    <row r="17" spans="1:9" x14ac:dyDescent="0.3">
      <c r="B17" s="39" t="s">
        <v>57</v>
      </c>
      <c r="C17" s="53">
        <f>SUM(C18:C21)</f>
        <v>1458837.2800512994</v>
      </c>
      <c r="D17" s="54">
        <f>SUM(D18:D21)</f>
        <v>1169276.263528795</v>
      </c>
      <c r="E17" s="129">
        <f t="shared" si="0"/>
        <v>0.24764123377364156</v>
      </c>
      <c r="F17" s="55">
        <f>SUM(F18:F21)</f>
        <v>1102204.0399999998</v>
      </c>
      <c r="G17" s="130">
        <f t="shared" si="1"/>
        <v>0.32356372060775573</v>
      </c>
      <c r="H17" s="151">
        <f t="shared" ref="H17:I17" si="4">SUM(H18:H21)</f>
        <v>1052975.8900000001</v>
      </c>
      <c r="I17" s="151">
        <f t="shared" si="4"/>
        <v>590285.96000000008</v>
      </c>
    </row>
    <row r="18" spans="1:9" x14ac:dyDescent="0.3">
      <c r="A18" s="85" t="s">
        <v>58</v>
      </c>
      <c r="B18" s="19" t="str">
        <f>A18</f>
        <v>Salários e provisões</v>
      </c>
      <c r="C18" s="20">
        <v>926268.06704021199</v>
      </c>
      <c r="D18" s="43">
        <v>754476.48268231528</v>
      </c>
      <c r="E18" s="16">
        <f t="shared" si="0"/>
        <v>0.22769640711284089</v>
      </c>
      <c r="F18" s="44">
        <v>674288.67999999982</v>
      </c>
      <c r="G18" s="24">
        <f t="shared" si="1"/>
        <v>0.37369659986018489</v>
      </c>
      <c r="H18" s="118">
        <v>655748.57000000007</v>
      </c>
      <c r="I18" s="118">
        <v>384845.82</v>
      </c>
    </row>
    <row r="19" spans="1:9" x14ac:dyDescent="0.3">
      <c r="A19" s="85" t="s">
        <v>59</v>
      </c>
      <c r="B19" s="19" t="str">
        <f>A19</f>
        <v>Encargos sociais</v>
      </c>
      <c r="C19" s="20">
        <v>328825.16379927524</v>
      </c>
      <c r="D19" s="43">
        <v>248165.75038710807</v>
      </c>
      <c r="E19" s="16">
        <f t="shared" si="0"/>
        <v>0.32502234206915492</v>
      </c>
      <c r="F19" s="44">
        <v>239372.38000000006</v>
      </c>
      <c r="G19" s="24">
        <f t="shared" si="1"/>
        <v>0.3736971817687369</v>
      </c>
      <c r="H19" s="118">
        <v>226590.95999999996</v>
      </c>
      <c r="I19" s="118">
        <v>131485.61000000002</v>
      </c>
    </row>
    <row r="20" spans="1:9" x14ac:dyDescent="0.3">
      <c r="A20" s="85" t="s">
        <v>60</v>
      </c>
      <c r="B20" s="19" t="str">
        <f>A20</f>
        <v>Benefícios</v>
      </c>
      <c r="C20" s="20">
        <v>203744.04921181229</v>
      </c>
      <c r="D20" s="43">
        <v>141291.88914680821</v>
      </c>
      <c r="E20" s="16">
        <f t="shared" si="0"/>
        <v>0.44200810423104797</v>
      </c>
      <c r="F20" s="44">
        <v>153896.58000000005</v>
      </c>
      <c r="G20" s="22">
        <f t="shared" si="1"/>
        <v>0.32390238439224728</v>
      </c>
      <c r="H20" s="118">
        <v>138445.74000000005</v>
      </c>
      <c r="I20" s="118">
        <v>56490.35</v>
      </c>
    </row>
    <row r="21" spans="1:9" x14ac:dyDescent="0.3">
      <c r="A21" s="85" t="s">
        <v>61</v>
      </c>
      <c r="B21" s="19" t="str">
        <f>A21</f>
        <v>Outros</v>
      </c>
      <c r="C21" s="20">
        <v>0</v>
      </c>
      <c r="D21" s="43">
        <v>25342.141312563312</v>
      </c>
      <c r="E21" s="16">
        <f t="shared" si="0"/>
        <v>-1</v>
      </c>
      <c r="F21" s="44">
        <v>34646.400000000001</v>
      </c>
      <c r="G21" s="24">
        <f t="shared" si="1"/>
        <v>-1</v>
      </c>
      <c r="H21" s="118">
        <v>32190.62</v>
      </c>
      <c r="I21" s="118">
        <v>17464.18</v>
      </c>
    </row>
    <row r="22" spans="1:9" x14ac:dyDescent="0.3">
      <c r="B22" s="39" t="s">
        <v>62</v>
      </c>
      <c r="C22" s="53">
        <f>SUM(C23:C24)</f>
        <v>2921031</v>
      </c>
      <c r="D22" s="54">
        <f>SUM(D23:D24)</f>
        <v>1566332.5558822681</v>
      </c>
      <c r="E22" s="131">
        <f t="shared" si="0"/>
        <v>0.86488558194761578</v>
      </c>
      <c r="F22" s="55">
        <f>SUM(F23:F24)</f>
        <v>1516355.3900000006</v>
      </c>
      <c r="G22" s="137">
        <f t="shared" si="1"/>
        <v>0.92634986446020329</v>
      </c>
      <c r="H22" s="151">
        <f t="shared" ref="H22:I22" si="5">SUM(H23:H24)</f>
        <v>1385650.3800000004</v>
      </c>
      <c r="I22" s="151">
        <f t="shared" si="5"/>
        <v>165765.57</v>
      </c>
    </row>
    <row r="23" spans="1:9" s="38" customFormat="1" x14ac:dyDescent="0.3">
      <c r="A23" s="85" t="s">
        <v>63</v>
      </c>
      <c r="B23" s="19" t="str">
        <f>A23</f>
        <v>Serviços contratados</v>
      </c>
      <c r="C23" s="20">
        <v>2915031</v>
      </c>
      <c r="D23" s="43">
        <v>1562810.0288259322</v>
      </c>
      <c r="E23" s="127">
        <f t="shared" si="0"/>
        <v>0.86524974004033606</v>
      </c>
      <c r="F23" s="44">
        <v>1509267.8900000006</v>
      </c>
      <c r="G23" s="136">
        <f t="shared" si="1"/>
        <v>0.93142053794041746</v>
      </c>
      <c r="H23" s="118">
        <v>1381622.2800000003</v>
      </c>
      <c r="I23" s="118">
        <v>165765.57</v>
      </c>
    </row>
    <row r="24" spans="1:9" x14ac:dyDescent="0.3">
      <c r="A24" s="85" t="s">
        <v>100</v>
      </c>
      <c r="B24" s="19" t="str">
        <f>A24</f>
        <v>Encargos sobre serviços contratados</v>
      </c>
      <c r="C24" s="20">
        <v>6000</v>
      </c>
      <c r="D24" s="43">
        <v>3522.5270563359441</v>
      </c>
      <c r="E24" s="124">
        <f t="shared" si="0"/>
        <v>0.70332261584984646</v>
      </c>
      <c r="F24" s="44">
        <v>7087.5</v>
      </c>
      <c r="G24" s="135">
        <f t="shared" si="1"/>
        <v>-0.15343915343915349</v>
      </c>
      <c r="H24" s="118">
        <v>4028.1</v>
      </c>
      <c r="I24" s="118">
        <v>0</v>
      </c>
    </row>
    <row r="25" spans="1:9" x14ac:dyDescent="0.3">
      <c r="B25" s="39" t="s">
        <v>64</v>
      </c>
      <c r="C25" s="53">
        <f>SUM(C26:C28)</f>
        <v>120304.99999999999</v>
      </c>
      <c r="D25" s="54">
        <f>SUM(D26:D28)</f>
        <v>180568.49075832847</v>
      </c>
      <c r="E25" s="129">
        <f t="shared" si="0"/>
        <v>-0.33374311600679374</v>
      </c>
      <c r="F25" s="55">
        <f>SUM(F26:F28)</f>
        <v>109668.28</v>
      </c>
      <c r="G25" s="137">
        <f t="shared" si="1"/>
        <v>9.6989940938254859E-2</v>
      </c>
      <c r="H25" s="151">
        <f t="shared" ref="H25:I25" si="6">SUM(H26:H28)</f>
        <v>88154.240000000005</v>
      </c>
      <c r="I25" s="151">
        <f t="shared" si="6"/>
        <v>22330.120000000003</v>
      </c>
    </row>
    <row r="26" spans="1:9" x14ac:dyDescent="0.3">
      <c r="A26" s="85" t="s">
        <v>67</v>
      </c>
      <c r="B26" s="19" t="str">
        <f>A26</f>
        <v>Mercadoria de uso geral</v>
      </c>
      <c r="C26" s="20">
        <v>54279.999999999985</v>
      </c>
      <c r="D26" s="43">
        <v>113429.42442064264</v>
      </c>
      <c r="E26" s="16">
        <f t="shared" si="0"/>
        <v>-0.52146455580425433</v>
      </c>
      <c r="F26" s="44">
        <v>41457.289999999986</v>
      </c>
      <c r="G26" s="136">
        <f t="shared" si="1"/>
        <v>0.30929928126030437</v>
      </c>
      <c r="H26" s="118">
        <v>51220.850000000006</v>
      </c>
      <c r="I26" s="118">
        <v>13222</v>
      </c>
    </row>
    <row r="27" spans="1:9" x14ac:dyDescent="0.3">
      <c r="A27" s="85" t="s">
        <v>65</v>
      </c>
      <c r="B27" s="19" t="str">
        <f>A27</f>
        <v>Material de consumo geral</v>
      </c>
      <c r="C27" s="20">
        <v>41245</v>
      </c>
      <c r="D27" s="43">
        <v>34467.955011680788</v>
      </c>
      <c r="E27" s="16">
        <f t="shared" si="0"/>
        <v>0.1966187139916642</v>
      </c>
      <c r="F27" s="44">
        <v>15911.579999999998</v>
      </c>
      <c r="G27" s="136">
        <f t="shared" si="1"/>
        <v>1.5921372987472022</v>
      </c>
      <c r="H27" s="118">
        <v>19091.939999999999</v>
      </c>
      <c r="I27" s="118">
        <v>4574.97</v>
      </c>
    </row>
    <row r="28" spans="1:9" x14ac:dyDescent="0.3">
      <c r="A28" s="85" t="s">
        <v>66</v>
      </c>
      <c r="B28" s="56" t="str">
        <f>A28</f>
        <v>Mercadoria de revenda e consumo</v>
      </c>
      <c r="C28" s="57">
        <v>24780</v>
      </c>
      <c r="D28" s="58">
        <v>32671.111326005044</v>
      </c>
      <c r="E28" s="16">
        <f t="shared" si="0"/>
        <v>-0.24153176937461562</v>
      </c>
      <c r="F28" s="59">
        <v>52299.410000000011</v>
      </c>
      <c r="G28" s="135">
        <f t="shared" si="1"/>
        <v>-0.52618968359298901</v>
      </c>
      <c r="H28" s="152">
        <v>17841.45</v>
      </c>
      <c r="I28" s="152">
        <v>4533.1499999999996</v>
      </c>
    </row>
    <row r="29" spans="1:9" hidden="1" x14ac:dyDescent="0.3">
      <c r="B29" s="39" t="s">
        <v>68</v>
      </c>
      <c r="C29" s="53">
        <f>SUM(C30)</f>
        <v>0</v>
      </c>
      <c r="D29" s="54">
        <f>SUM(D30)</f>
        <v>0</v>
      </c>
      <c r="E29" s="16">
        <f t="shared" si="0"/>
        <v>0</v>
      </c>
      <c r="F29" s="55">
        <f>SUM(F30)</f>
        <v>0</v>
      </c>
      <c r="G29" s="24">
        <f t="shared" si="1"/>
        <v>0</v>
      </c>
      <c r="H29" s="151">
        <f t="shared" ref="H29:I29" si="7">SUM(H30)</f>
        <v>0</v>
      </c>
      <c r="I29" s="151">
        <f t="shared" si="7"/>
        <v>0</v>
      </c>
    </row>
    <row r="30" spans="1:9" hidden="1" x14ac:dyDescent="0.3">
      <c r="B30" s="19" t="s">
        <v>68</v>
      </c>
      <c r="C30" s="20"/>
      <c r="D30" s="43"/>
      <c r="E30" s="16">
        <f t="shared" si="0"/>
        <v>0</v>
      </c>
      <c r="F30" s="44">
        <v>0</v>
      </c>
      <c r="G30" s="24">
        <f t="shared" si="1"/>
        <v>0</v>
      </c>
      <c r="H30" s="118"/>
      <c r="I30" s="118"/>
    </row>
    <row r="31" spans="1:9" hidden="1" x14ac:dyDescent="0.3">
      <c r="B31" s="39" t="s">
        <v>69</v>
      </c>
      <c r="C31" s="53">
        <f>SUM(C32)</f>
        <v>0</v>
      </c>
      <c r="D31" s="54">
        <f>SUM(D32)</f>
        <v>0</v>
      </c>
      <c r="E31" s="16">
        <f t="shared" si="0"/>
        <v>0</v>
      </c>
      <c r="F31" s="55">
        <f>SUM(F32)</f>
        <v>0</v>
      </c>
      <c r="G31" s="24">
        <f t="shared" si="1"/>
        <v>0</v>
      </c>
      <c r="H31" s="151">
        <f t="shared" ref="H31:I31" si="8">SUM(H32)</f>
        <v>0</v>
      </c>
      <c r="I31" s="151">
        <f t="shared" si="8"/>
        <v>0</v>
      </c>
    </row>
    <row r="32" spans="1:9" hidden="1" x14ac:dyDescent="0.3">
      <c r="B32" s="19" t="s">
        <v>70</v>
      </c>
      <c r="C32" s="20">
        <v>0</v>
      </c>
      <c r="D32" s="43"/>
      <c r="E32" s="16">
        <f t="shared" si="0"/>
        <v>0</v>
      </c>
      <c r="F32" s="44">
        <v>0</v>
      </c>
      <c r="G32" s="24">
        <f t="shared" si="1"/>
        <v>0</v>
      </c>
      <c r="H32" s="118">
        <v>0</v>
      </c>
      <c r="I32" s="118">
        <v>0</v>
      </c>
    </row>
    <row r="33" spans="1:9" x14ac:dyDescent="0.3">
      <c r="B33" s="39" t="s">
        <v>71</v>
      </c>
      <c r="C33" s="53">
        <f>SUM(C34:C36)</f>
        <v>300514.16999999993</v>
      </c>
      <c r="D33" s="54">
        <f>SUM(D34:D36)</f>
        <v>293951.7679993973</v>
      </c>
      <c r="E33" s="131">
        <f t="shared" si="0"/>
        <v>2.2324757715408872E-2</v>
      </c>
      <c r="F33" s="55">
        <f>SUM(F34:F36)</f>
        <v>85650.43</v>
      </c>
      <c r="G33" s="137">
        <f t="shared" si="1"/>
        <v>2.5086125078414661</v>
      </c>
      <c r="H33" s="151">
        <f t="shared" ref="H33:I33" si="9">SUM(H34:H36)</f>
        <v>255927.27000000002</v>
      </c>
      <c r="I33" s="151">
        <f t="shared" si="9"/>
        <v>1547.04</v>
      </c>
    </row>
    <row r="34" spans="1:9" x14ac:dyDescent="0.3">
      <c r="A34" s="85" t="s">
        <v>73</v>
      </c>
      <c r="B34" s="19" t="str">
        <f>A34</f>
        <v>Outros gastos gerais</v>
      </c>
      <c r="C34" s="20">
        <v>284616.16999999993</v>
      </c>
      <c r="D34" s="43">
        <v>278491.46215509181</v>
      </c>
      <c r="E34" s="127">
        <f t="shared" si="0"/>
        <v>2.1992443852721255E-2</v>
      </c>
      <c r="F34" s="44">
        <v>53990</v>
      </c>
      <c r="G34" s="136">
        <f t="shared" si="1"/>
        <v>4.2716460455639922</v>
      </c>
      <c r="H34" s="118">
        <v>246001.90000000002</v>
      </c>
      <c r="I34" s="118">
        <v>0</v>
      </c>
    </row>
    <row r="35" spans="1:9" x14ac:dyDescent="0.3">
      <c r="A35" s="85" t="s">
        <v>72</v>
      </c>
      <c r="B35" s="19" t="str">
        <f>A35</f>
        <v>Locomoções gerais - viagens - estadias</v>
      </c>
      <c r="C35" s="20">
        <v>15898</v>
      </c>
      <c r="D35" s="43">
        <v>15460.305844305485</v>
      </c>
      <c r="E35" s="127">
        <f t="shared" si="0"/>
        <v>2.8310834216499714E-2</v>
      </c>
      <c r="F35" s="44">
        <v>31574.239999999998</v>
      </c>
      <c r="G35" s="136">
        <f t="shared" si="1"/>
        <v>-0.49648827651908645</v>
      </c>
      <c r="H35" s="118">
        <v>9840.18</v>
      </c>
      <c r="I35" s="118">
        <v>1547.04</v>
      </c>
    </row>
    <row r="36" spans="1:9" x14ac:dyDescent="0.3">
      <c r="A36" s="85" t="s">
        <v>82</v>
      </c>
      <c r="B36" s="56" t="str">
        <f>A36</f>
        <v>Despesas financeiras</v>
      </c>
      <c r="C36" s="57">
        <v>0</v>
      </c>
      <c r="D36" s="58">
        <v>0</v>
      </c>
      <c r="E36" s="124">
        <f t="shared" si="0"/>
        <v>0</v>
      </c>
      <c r="F36" s="59">
        <v>86.19</v>
      </c>
      <c r="G36" s="135">
        <f t="shared" si="1"/>
        <v>-1</v>
      </c>
      <c r="H36" s="152">
        <v>85.19</v>
      </c>
      <c r="I36" s="152">
        <v>0</v>
      </c>
    </row>
    <row r="37" spans="1:9" x14ac:dyDescent="0.3">
      <c r="B37" s="39" t="s">
        <v>83</v>
      </c>
      <c r="C37" s="53">
        <f>SUM(C38)</f>
        <v>350000</v>
      </c>
      <c r="D37" s="54">
        <f>SUM(D38)</f>
        <v>186405.77999999997</v>
      </c>
      <c r="E37" s="129">
        <f t="shared" si="0"/>
        <v>0.87762418096692096</v>
      </c>
      <c r="F37" s="55">
        <f>SUM(F38)</f>
        <v>249999.95999999993</v>
      </c>
      <c r="G37" s="138">
        <f t="shared" si="1"/>
        <v>0.40000022400003621</v>
      </c>
      <c r="H37" s="151">
        <f t="shared" ref="H37:I37" si="10">SUM(H38)</f>
        <v>154801.70000000001</v>
      </c>
      <c r="I37" s="151">
        <f t="shared" si="10"/>
        <v>141259.59</v>
      </c>
    </row>
    <row r="38" spans="1:9" x14ac:dyDescent="0.3">
      <c r="A38" s="85" t="s">
        <v>83</v>
      </c>
      <c r="B38" s="19" t="str">
        <f>A38</f>
        <v>Tributários fiscais e taxas</v>
      </c>
      <c r="C38" s="20">
        <v>350000</v>
      </c>
      <c r="D38" s="43">
        <v>186405.77999999997</v>
      </c>
      <c r="E38" s="16">
        <f t="shared" si="0"/>
        <v>0.87762418096692096</v>
      </c>
      <c r="F38" s="44">
        <v>249999.95999999993</v>
      </c>
      <c r="G38" s="24">
        <f t="shared" si="1"/>
        <v>0.40000022400003621</v>
      </c>
      <c r="H38" s="118">
        <v>154801.70000000001</v>
      </c>
      <c r="I38" s="118">
        <v>141259.59</v>
      </c>
    </row>
    <row r="39" spans="1:9" x14ac:dyDescent="0.3">
      <c r="B39" s="26" t="s">
        <v>51</v>
      </c>
      <c r="C39" s="51">
        <f>SUM(C37+C33+C31+C29+C25+C22+C17)</f>
        <v>5150687.4500512993</v>
      </c>
      <c r="D39" s="49">
        <f>SUM(D37+D33+D31+D29+D25+D22+D17)</f>
        <v>3396534.8581687887</v>
      </c>
      <c r="E39" s="121">
        <f t="shared" si="0"/>
        <v>0.51645358140921482</v>
      </c>
      <c r="F39" s="49">
        <f>SUM(F37+F33+F31+F29+F25+F22+F17)</f>
        <v>3063878.1000000006</v>
      </c>
      <c r="G39" s="120">
        <f t="shared" si="1"/>
        <v>0.68110064498039202</v>
      </c>
      <c r="H39" s="150">
        <f t="shared" ref="H39:I39" si="11">SUM(H37+H33+H31+H29+H25+H22+H17)</f>
        <v>2937509.4800000004</v>
      </c>
      <c r="I39" s="142">
        <f t="shared" si="11"/>
        <v>921188.28</v>
      </c>
    </row>
  </sheetData>
  <mergeCells count="3">
    <mergeCell ref="B3:B4"/>
    <mergeCell ref="B9:B10"/>
    <mergeCell ref="B15:B16"/>
  </mergeCells>
  <pageMargins left="0.511811024" right="0.511811024" top="0.78740157499999996" bottom="0.78740157499999996" header="0.31496062000000002" footer="0.31496062000000002"/>
  <ignoredErrors>
    <ignoredError sqref="F22 F25 F29:F33 F37 C37:D37 C29:D30 C25:D25 C22:D22 C32:D33 C31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9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23.5546875" hidden="1" customWidth="1"/>
    <col min="2" max="2" width="35.10937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381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85" t="s">
        <v>217</v>
      </c>
      <c r="B5" s="13" t="s">
        <v>217</v>
      </c>
      <c r="C5" s="20">
        <v>5150687.4500512993</v>
      </c>
      <c r="D5" s="43">
        <v>3396534.8581687873</v>
      </c>
      <c r="E5" s="16">
        <f>IFERROR(C5/D5-1,0)</f>
        <v>0.51645358140921549</v>
      </c>
      <c r="F5" s="44">
        <v>3063878.0999999982</v>
      </c>
      <c r="G5" s="17">
        <f>IFERROR(C5/F5-1,0)</f>
        <v>0.68110064498039335</v>
      </c>
      <c r="H5" s="118">
        <v>2937509.4800000004</v>
      </c>
      <c r="I5" s="118">
        <v>921188.28000000014</v>
      </c>
    </row>
    <row r="6" spans="1:9" s="38" customFormat="1" x14ac:dyDescent="0.3">
      <c r="A6" s="85" t="s">
        <v>218</v>
      </c>
      <c r="B6" s="61" t="str">
        <f>A6</f>
        <v>Comunicação</v>
      </c>
      <c r="C6" s="40">
        <v>4082836.4683650183</v>
      </c>
      <c r="D6" s="80">
        <v>3497002.4849738083</v>
      </c>
      <c r="E6" s="129">
        <f t="shared" ref="E6:E39" si="0">IFERROR(C6/D6-1,0)</f>
        <v>0.16752461169486343</v>
      </c>
      <c r="F6" s="77">
        <v>3605879.9099999997</v>
      </c>
      <c r="G6" s="130">
        <f t="shared" ref="G6:G39" si="1">IFERROR(C6/F6-1,0)</f>
        <v>0.13227189209554635</v>
      </c>
      <c r="H6" s="147">
        <v>3325942.9</v>
      </c>
      <c r="I6" s="147">
        <v>2777207.3</v>
      </c>
    </row>
    <row r="7" spans="1:9" x14ac:dyDescent="0.3">
      <c r="B7" s="46" t="s">
        <v>51</v>
      </c>
      <c r="C7" s="51">
        <f>SUM(C5:C6)</f>
        <v>9233523.9184163176</v>
      </c>
      <c r="D7" s="49">
        <f>SUM(D5:D6)</f>
        <v>6893537.3431425951</v>
      </c>
      <c r="E7" s="121">
        <f t="shared" si="0"/>
        <v>0.33944642043630102</v>
      </c>
      <c r="F7" s="49">
        <f>SUM(F5:F6)</f>
        <v>6669758.0099999979</v>
      </c>
      <c r="G7" s="122">
        <f t="shared" si="1"/>
        <v>0.38438664559830427</v>
      </c>
      <c r="H7" s="150">
        <f t="shared" ref="H7:I7" si="2">SUM(H5:H6)</f>
        <v>6263452.3800000008</v>
      </c>
      <c r="I7" s="142">
        <f t="shared" si="2"/>
        <v>3698395.58</v>
      </c>
    </row>
    <row r="8" spans="1:9" x14ac:dyDescent="0.3">
      <c r="B8" s="38"/>
      <c r="C8" s="50"/>
      <c r="D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 s="78" t="s">
        <v>218</v>
      </c>
      <c r="B11" s="19" t="str">
        <f>A11</f>
        <v>Comunicação</v>
      </c>
      <c r="C11" s="20">
        <v>3443063.228365018</v>
      </c>
      <c r="D11" s="118">
        <v>3497002.4849738083</v>
      </c>
      <c r="E11" s="141">
        <f t="shared" si="0"/>
        <v>-1.5424426159420968E-2</v>
      </c>
      <c r="F11" s="119">
        <v>3605879.9099999997</v>
      </c>
      <c r="G11" s="22">
        <f>IFERROR(C11/F11-1,0)</f>
        <v>-4.5153107063674147E-2</v>
      </c>
      <c r="H11" s="118">
        <v>3325942.9</v>
      </c>
      <c r="I11" s="118">
        <v>2777207.3</v>
      </c>
    </row>
    <row r="12" spans="1:9" x14ac:dyDescent="0.3">
      <c r="A12" s="78" t="s">
        <v>221</v>
      </c>
      <c r="B12" s="19" t="str">
        <f>A12</f>
        <v>Revista Pinheiros</v>
      </c>
      <c r="C12" s="20">
        <v>639773.23999999987</v>
      </c>
      <c r="D12" s="43">
        <v>0</v>
      </c>
      <c r="E12" s="16">
        <f t="shared" si="0"/>
        <v>0</v>
      </c>
      <c r="F12" s="44">
        <v>0</v>
      </c>
      <c r="G12" s="22">
        <f>IFERROR(C12/F12-1,0)</f>
        <v>0</v>
      </c>
      <c r="H12" s="118">
        <v>0</v>
      </c>
      <c r="I12" s="118">
        <v>0</v>
      </c>
    </row>
    <row r="13" spans="1:9" x14ac:dyDescent="0.3">
      <c r="B13" s="46" t="s">
        <v>51</v>
      </c>
      <c r="C13" s="51">
        <f>SUM(C11:C12)</f>
        <v>4082836.4683650178</v>
      </c>
      <c r="D13" s="28">
        <f>SUM(D11:D12)</f>
        <v>3497002.4849738083</v>
      </c>
      <c r="E13" s="121">
        <f t="shared" si="0"/>
        <v>0.16752461169486343</v>
      </c>
      <c r="F13" s="28">
        <f>SUM(F11:F12)</f>
        <v>3605879.9099999997</v>
      </c>
      <c r="G13" s="120">
        <f t="shared" si="1"/>
        <v>0.13227189209554635</v>
      </c>
      <c r="H13" s="150">
        <f t="shared" ref="H13:I13" si="3">SUM(H11:H12)</f>
        <v>3325942.9</v>
      </c>
      <c r="I13" s="142">
        <f t="shared" si="3"/>
        <v>2777207.3</v>
      </c>
    </row>
    <row r="14" spans="1:9" x14ac:dyDescent="0.3">
      <c r="B14" s="38"/>
      <c r="C14" s="50"/>
      <c r="D14" s="50"/>
      <c r="H14" s="50"/>
      <c r="I14" s="50"/>
    </row>
    <row r="15" spans="1:9" x14ac:dyDescent="0.3">
      <c r="B15" s="202" t="s">
        <v>56</v>
      </c>
      <c r="C15" s="8"/>
      <c r="D15" s="8"/>
      <c r="E15" s="36"/>
      <c r="F15" s="36"/>
      <c r="G15" s="36"/>
      <c r="H15" s="8"/>
      <c r="I15" s="8"/>
    </row>
    <row r="16" spans="1:9" ht="43.2" x14ac:dyDescent="0.3">
      <c r="B16" s="203"/>
      <c r="C16" s="10" t="str">
        <f>'23-Despesas '!C$4</f>
        <v>Orçamento 2026</v>
      </c>
      <c r="D16" s="10" t="str">
        <f>'23-Despesas '!D$4</f>
        <v>Projeção 2025</v>
      </c>
      <c r="E16" s="11" t="s">
        <v>6</v>
      </c>
      <c r="F16" s="37" t="str">
        <f>'23-Despesas '!F$4</f>
        <v>Orçamento 2025</v>
      </c>
      <c r="G16" s="12" t="s">
        <v>8</v>
      </c>
      <c r="H16" s="10" t="s">
        <v>382</v>
      </c>
      <c r="I16" s="10" t="s">
        <v>197</v>
      </c>
    </row>
    <row r="17" spans="1:9" x14ac:dyDescent="0.3">
      <c r="B17" s="39" t="s">
        <v>57</v>
      </c>
      <c r="C17" s="53">
        <f>SUM(C18:C21)</f>
        <v>2034708.3183650179</v>
      </c>
      <c r="D17" s="54">
        <f>SUM(D18:D21)</f>
        <v>1768353.3441464854</v>
      </c>
      <c r="E17" s="129">
        <f t="shared" si="0"/>
        <v>0.15062316312529234</v>
      </c>
      <c r="F17" s="55">
        <f>SUM(F18:F21)</f>
        <v>1710478.9799999997</v>
      </c>
      <c r="G17" s="130">
        <f t="shared" si="1"/>
        <v>0.18955470494295001</v>
      </c>
      <c r="H17" s="151">
        <f t="shared" ref="H17:I17" si="4">SUM(H18:H21)</f>
        <v>1561604.0399999998</v>
      </c>
      <c r="I17" s="151">
        <f t="shared" si="4"/>
        <v>1367529.6800000002</v>
      </c>
    </row>
    <row r="18" spans="1:9" x14ac:dyDescent="0.3">
      <c r="A18" s="85" t="s">
        <v>58</v>
      </c>
      <c r="B18" s="19" t="str">
        <f>A18</f>
        <v>Salários e provisões</v>
      </c>
      <c r="C18" s="20">
        <v>1252875.3596410416</v>
      </c>
      <c r="D18" s="43">
        <v>1109775.1433992179</v>
      </c>
      <c r="E18" s="16">
        <f t="shared" si="0"/>
        <v>0.12894523462069163</v>
      </c>
      <c r="F18" s="44">
        <v>1025056.0199999997</v>
      </c>
      <c r="G18" s="24">
        <f t="shared" si="1"/>
        <v>0.22225062357181424</v>
      </c>
      <c r="H18" s="118">
        <v>1007308.4599999997</v>
      </c>
      <c r="I18" s="118">
        <v>854910.46000000008</v>
      </c>
    </row>
    <row r="19" spans="1:9" x14ac:dyDescent="0.3">
      <c r="A19" s="85" t="s">
        <v>59</v>
      </c>
      <c r="B19" s="19" t="str">
        <f>A19</f>
        <v>Encargos sociais</v>
      </c>
      <c r="C19" s="20">
        <v>444770.75267256971</v>
      </c>
      <c r="D19" s="43">
        <v>389973.56820056675</v>
      </c>
      <c r="E19" s="16">
        <f t="shared" si="0"/>
        <v>0.1405151244604872</v>
      </c>
      <c r="F19" s="44">
        <v>363895.14</v>
      </c>
      <c r="G19" s="24">
        <f t="shared" si="1"/>
        <v>0.22224977413155256</v>
      </c>
      <c r="H19" s="118">
        <v>341240.62000000005</v>
      </c>
      <c r="I19" s="118">
        <v>292172.45999999996</v>
      </c>
    </row>
    <row r="20" spans="1:9" x14ac:dyDescent="0.3">
      <c r="A20" s="85" t="s">
        <v>60</v>
      </c>
      <c r="B20" s="19" t="str">
        <f>A20</f>
        <v>Benefícios</v>
      </c>
      <c r="C20" s="20">
        <v>282494.12605140643</v>
      </c>
      <c r="D20" s="43">
        <v>208340.53992157395</v>
      </c>
      <c r="E20" s="16">
        <f t="shared" si="0"/>
        <v>0.35592490140299282</v>
      </c>
      <c r="F20" s="44">
        <v>252235.02000000011</v>
      </c>
      <c r="G20" s="22">
        <f t="shared" si="1"/>
        <v>0.11996393701162633</v>
      </c>
      <c r="H20" s="118">
        <v>162930.93999999997</v>
      </c>
      <c r="I20" s="118">
        <v>175619.14</v>
      </c>
    </row>
    <row r="21" spans="1:9" x14ac:dyDescent="0.3">
      <c r="A21" s="85" t="s">
        <v>61</v>
      </c>
      <c r="B21" s="19" t="str">
        <f>A21</f>
        <v>Outros</v>
      </c>
      <c r="C21" s="20">
        <v>54568.079999999987</v>
      </c>
      <c r="D21" s="43">
        <v>60264.092625126614</v>
      </c>
      <c r="E21" s="16">
        <f t="shared" si="0"/>
        <v>-9.4517520749191841E-2</v>
      </c>
      <c r="F21" s="44">
        <v>69292.800000000003</v>
      </c>
      <c r="G21" s="22">
        <f t="shared" si="1"/>
        <v>-0.21250000000000024</v>
      </c>
      <c r="H21" s="118">
        <v>50124.02</v>
      </c>
      <c r="I21" s="118">
        <v>44827.619999999995</v>
      </c>
    </row>
    <row r="22" spans="1:9" x14ac:dyDescent="0.3">
      <c r="B22" s="39" t="s">
        <v>62</v>
      </c>
      <c r="C22" s="53">
        <f>SUM(C23:C24)</f>
        <v>1957393.5100000002</v>
      </c>
      <c r="D22" s="54">
        <f t="shared" ref="D22:I22" si="5">SUM(D23:D24)</f>
        <v>1684330.686875348</v>
      </c>
      <c r="E22" s="131">
        <f t="shared" si="0"/>
        <v>0.16211948476175975</v>
      </c>
      <c r="F22" s="55">
        <f t="shared" si="5"/>
        <v>1817287.0199999998</v>
      </c>
      <c r="G22" s="132">
        <f t="shared" si="1"/>
        <v>7.7096511700171844E-2</v>
      </c>
      <c r="H22" s="151">
        <f t="shared" si="5"/>
        <v>1730028.6500000001</v>
      </c>
      <c r="I22" s="151">
        <f t="shared" si="5"/>
        <v>1350113.8399999999</v>
      </c>
    </row>
    <row r="23" spans="1:9" x14ac:dyDescent="0.3">
      <c r="A23" s="78" t="s">
        <v>63</v>
      </c>
      <c r="B23" s="19" t="str">
        <f>A23</f>
        <v>Serviços contratados</v>
      </c>
      <c r="C23" s="20">
        <v>1957393.5100000002</v>
      </c>
      <c r="D23" s="43">
        <v>1684330.686875348</v>
      </c>
      <c r="E23" s="127">
        <f t="shared" si="0"/>
        <v>0.16211948476175975</v>
      </c>
      <c r="F23" s="44">
        <v>1817287.0199999998</v>
      </c>
      <c r="G23" s="128">
        <f t="shared" si="1"/>
        <v>7.7096511700171844E-2</v>
      </c>
      <c r="H23" s="118">
        <v>1730028.6500000001</v>
      </c>
      <c r="I23" s="118">
        <v>1349777.8399999999</v>
      </c>
    </row>
    <row r="24" spans="1:9" s="38" customFormat="1" x14ac:dyDescent="0.3">
      <c r="A24" s="78" t="s">
        <v>100</v>
      </c>
      <c r="B24" s="19" t="str">
        <f>A24</f>
        <v>Encargos sobre serviços contratados</v>
      </c>
      <c r="C24" s="20">
        <v>0</v>
      </c>
      <c r="D24" s="43">
        <v>0</v>
      </c>
      <c r="E24" s="124">
        <f t="shared" si="0"/>
        <v>0</v>
      </c>
      <c r="F24" s="44">
        <v>0</v>
      </c>
      <c r="G24" s="126">
        <f t="shared" si="1"/>
        <v>0</v>
      </c>
      <c r="H24" s="118">
        <v>0</v>
      </c>
      <c r="I24" s="118">
        <v>336</v>
      </c>
    </row>
    <row r="25" spans="1:9" x14ac:dyDescent="0.3">
      <c r="B25" s="39" t="s">
        <v>64</v>
      </c>
      <c r="C25" s="53">
        <f>SUM(C26:C28)</f>
        <v>20242.319999999992</v>
      </c>
      <c r="D25" s="54">
        <f>SUM(D26:D28)</f>
        <v>10489.818182870498</v>
      </c>
      <c r="E25" s="129">
        <f t="shared" si="0"/>
        <v>0.92971123494351726</v>
      </c>
      <c r="F25" s="55">
        <f>SUM(F26:F28)</f>
        <v>17994.030000000002</v>
      </c>
      <c r="G25" s="132">
        <f t="shared" si="1"/>
        <v>0.12494644056945492</v>
      </c>
      <c r="H25" s="151">
        <f t="shared" ref="H25:I25" si="6">SUM(H26:H28)</f>
        <v>13520.76</v>
      </c>
      <c r="I25" s="151">
        <f t="shared" si="6"/>
        <v>16879.34</v>
      </c>
    </row>
    <row r="26" spans="1:9" x14ac:dyDescent="0.3">
      <c r="A26" s="78" t="s">
        <v>65</v>
      </c>
      <c r="B26" s="19" t="str">
        <f>A26</f>
        <v>Material de consumo geral</v>
      </c>
      <c r="C26" s="20">
        <v>12395.399999999994</v>
      </c>
      <c r="D26" s="43">
        <v>5269.7446545403936</v>
      </c>
      <c r="E26" s="16">
        <f t="shared" si="0"/>
        <v>1.3521822806575954</v>
      </c>
      <c r="F26" s="44">
        <v>8780.3600000000042</v>
      </c>
      <c r="G26" s="128">
        <f t="shared" si="1"/>
        <v>0.41171888168594317</v>
      </c>
      <c r="H26" s="118">
        <v>8239.16</v>
      </c>
      <c r="I26" s="118">
        <v>2106.0899999999997</v>
      </c>
    </row>
    <row r="27" spans="1:9" x14ac:dyDescent="0.3">
      <c r="A27" s="78" t="s">
        <v>66</v>
      </c>
      <c r="B27" s="19" t="str">
        <f>A27</f>
        <v>Mercadoria de revenda e consumo</v>
      </c>
      <c r="C27" s="20">
        <v>7846.9199999999992</v>
      </c>
      <c r="D27" s="43">
        <v>5220.0735283301037</v>
      </c>
      <c r="E27" s="16">
        <f t="shared" si="0"/>
        <v>0.50322020512040977</v>
      </c>
      <c r="F27" s="44">
        <v>9213.6699999999983</v>
      </c>
      <c r="G27" s="128">
        <f t="shared" si="1"/>
        <v>-0.14833936965400318</v>
      </c>
      <c r="H27" s="118">
        <v>5031.6000000000004</v>
      </c>
      <c r="I27" s="118">
        <v>11339.230000000001</v>
      </c>
    </row>
    <row r="28" spans="1:9" x14ac:dyDescent="0.3">
      <c r="A28" s="78" t="s">
        <v>67</v>
      </c>
      <c r="B28" s="56" t="str">
        <f>A28</f>
        <v>Mercadoria de uso geral</v>
      </c>
      <c r="C28" s="20">
        <v>0</v>
      </c>
      <c r="D28" s="58">
        <v>0</v>
      </c>
      <c r="E28" s="16">
        <f t="shared" si="0"/>
        <v>0</v>
      </c>
      <c r="F28" s="59">
        <v>0</v>
      </c>
      <c r="G28" s="126">
        <f t="shared" si="1"/>
        <v>0</v>
      </c>
      <c r="H28" s="118">
        <v>250</v>
      </c>
      <c r="I28" s="118">
        <v>3434.02</v>
      </c>
    </row>
    <row r="29" spans="1:9" x14ac:dyDescent="0.3">
      <c r="A29" s="85" t="s">
        <v>383</v>
      </c>
      <c r="B29" s="39" t="str">
        <f>A29</f>
        <v>Receitas operacionais</v>
      </c>
      <c r="C29" s="53">
        <f>SUM(C30)</f>
        <v>0</v>
      </c>
      <c r="D29" s="54">
        <f>SUM(D30)</f>
        <v>0</v>
      </c>
      <c r="E29" s="131">
        <f t="shared" si="0"/>
        <v>0</v>
      </c>
      <c r="F29" s="55">
        <f>SUM(F30)</f>
        <v>0</v>
      </c>
      <c r="G29" s="130">
        <f t="shared" si="1"/>
        <v>0</v>
      </c>
      <c r="H29" s="151">
        <f t="shared" ref="H29:I29" si="7">SUM(H30)</f>
        <v>18.66</v>
      </c>
      <c r="I29" s="151">
        <f t="shared" si="7"/>
        <v>0</v>
      </c>
    </row>
    <row r="30" spans="1:9" x14ac:dyDescent="0.3">
      <c r="A30" s="78" t="s">
        <v>384</v>
      </c>
      <c r="B30" s="19" t="str">
        <f>A30</f>
        <v>Receitas extraordinárias</v>
      </c>
      <c r="C30" s="20">
        <v>0</v>
      </c>
      <c r="D30" s="43">
        <v>0</v>
      </c>
      <c r="E30" s="124">
        <f t="shared" si="0"/>
        <v>0</v>
      </c>
      <c r="F30" s="44">
        <v>0</v>
      </c>
      <c r="G30" s="22">
        <f t="shared" si="1"/>
        <v>0</v>
      </c>
      <c r="H30" s="118">
        <v>18.66</v>
      </c>
      <c r="I30" s="118">
        <v>0</v>
      </c>
    </row>
    <row r="31" spans="1:9" hidden="1" x14ac:dyDescent="0.3">
      <c r="B31" s="39" t="s">
        <v>69</v>
      </c>
      <c r="C31" s="53">
        <f>SUM(C32)</f>
        <v>0</v>
      </c>
      <c r="D31" s="54">
        <f>SUM(D32)</f>
        <v>0</v>
      </c>
      <c r="E31" s="16">
        <f t="shared" si="0"/>
        <v>0</v>
      </c>
      <c r="F31" s="55">
        <f>SUM(F32)</f>
        <v>0</v>
      </c>
      <c r="G31" s="22">
        <f t="shared" si="1"/>
        <v>0</v>
      </c>
      <c r="H31" s="151">
        <f t="shared" ref="H31:I31" si="8">SUM(H32)</f>
        <v>0</v>
      </c>
      <c r="I31" s="151">
        <f t="shared" si="8"/>
        <v>0</v>
      </c>
    </row>
    <row r="32" spans="1:9" hidden="1" x14ac:dyDescent="0.3">
      <c r="B32" s="19" t="s">
        <v>70</v>
      </c>
      <c r="C32" s="20">
        <v>0</v>
      </c>
      <c r="D32" s="43">
        <v>0</v>
      </c>
      <c r="E32" s="16">
        <f t="shared" si="0"/>
        <v>0</v>
      </c>
      <c r="F32" s="44">
        <v>0</v>
      </c>
      <c r="G32" s="22">
        <f t="shared" si="1"/>
        <v>0</v>
      </c>
      <c r="H32" s="118">
        <v>0</v>
      </c>
      <c r="I32" s="118">
        <v>0</v>
      </c>
    </row>
    <row r="33" spans="1:9" x14ac:dyDescent="0.3">
      <c r="B33" s="39" t="s">
        <v>71</v>
      </c>
      <c r="C33" s="53">
        <f>SUM(C34:C36)</f>
        <v>70492.319999999992</v>
      </c>
      <c r="D33" s="54">
        <f>SUM(D34:D36)</f>
        <v>30463.585769103694</v>
      </c>
      <c r="E33" s="131">
        <f t="shared" si="0"/>
        <v>1.3139862961074535</v>
      </c>
      <c r="F33" s="55">
        <f>SUM(F34:F36)</f>
        <v>60119.879999999983</v>
      </c>
      <c r="G33" s="132">
        <f t="shared" si="1"/>
        <v>0.17252928648560206</v>
      </c>
      <c r="H33" s="151">
        <f t="shared" ref="H33:I33" si="9">SUM(H34:H36)</f>
        <v>19683.509999999998</v>
      </c>
      <c r="I33" s="151">
        <f t="shared" si="9"/>
        <v>41815.740000000005</v>
      </c>
    </row>
    <row r="34" spans="1:9" x14ac:dyDescent="0.3">
      <c r="A34" s="85" t="s">
        <v>72</v>
      </c>
      <c r="B34" s="19" t="str">
        <f>A34</f>
        <v>Locomoções gerais - viagens - estadias</v>
      </c>
      <c r="C34" s="20">
        <v>70492.319999999992</v>
      </c>
      <c r="D34" s="43">
        <v>26939.39761862337</v>
      </c>
      <c r="E34" s="127">
        <f t="shared" si="0"/>
        <v>1.6166999350894251</v>
      </c>
      <c r="F34" s="44">
        <v>52499.879999999983</v>
      </c>
      <c r="G34" s="128">
        <f t="shared" si="1"/>
        <v>0.34271392620326013</v>
      </c>
      <c r="H34" s="118">
        <v>17544.649999999998</v>
      </c>
      <c r="I34" s="118">
        <v>40478.870000000003</v>
      </c>
    </row>
    <row r="35" spans="1:9" x14ac:dyDescent="0.3">
      <c r="A35" s="85" t="s">
        <v>73</v>
      </c>
      <c r="B35" s="19" t="str">
        <f>A35</f>
        <v>Outros gastos gerais</v>
      </c>
      <c r="C35" s="20">
        <v>0</v>
      </c>
      <c r="D35" s="43">
        <v>3508.2981504803256</v>
      </c>
      <c r="E35" s="127">
        <f t="shared" si="0"/>
        <v>-1</v>
      </c>
      <c r="F35" s="44">
        <v>7620</v>
      </c>
      <c r="G35" s="128">
        <f t="shared" si="1"/>
        <v>-1</v>
      </c>
      <c r="H35" s="118">
        <v>0</v>
      </c>
      <c r="I35" s="118">
        <v>0</v>
      </c>
    </row>
    <row r="36" spans="1:9" x14ac:dyDescent="0.3">
      <c r="A36" s="85" t="s">
        <v>82</v>
      </c>
      <c r="B36" s="56" t="str">
        <f>A36</f>
        <v>Despesas financeiras</v>
      </c>
      <c r="C36" s="20">
        <v>0</v>
      </c>
      <c r="D36" s="58">
        <v>15.89</v>
      </c>
      <c r="E36" s="124">
        <f t="shared" si="0"/>
        <v>-1</v>
      </c>
      <c r="F36" s="59">
        <v>0</v>
      </c>
      <c r="G36" s="126">
        <f t="shared" si="1"/>
        <v>0</v>
      </c>
      <c r="H36" s="118">
        <v>2138.86</v>
      </c>
      <c r="I36" s="118">
        <v>1336.87</v>
      </c>
    </row>
    <row r="37" spans="1:9" x14ac:dyDescent="0.3">
      <c r="B37" s="39" t="s">
        <v>83</v>
      </c>
      <c r="C37" s="53">
        <f>SUM(C38)</f>
        <v>0</v>
      </c>
      <c r="D37" s="54">
        <f>SUM(D38)</f>
        <v>3365.05</v>
      </c>
      <c r="E37" s="129">
        <f t="shared" si="0"/>
        <v>-1</v>
      </c>
      <c r="F37" s="55">
        <f>SUM(F38)</f>
        <v>0</v>
      </c>
      <c r="G37" s="130">
        <f t="shared" si="1"/>
        <v>0</v>
      </c>
      <c r="H37" s="151">
        <f t="shared" ref="H37:I37" si="10">SUM(H38)</f>
        <v>1087.28</v>
      </c>
      <c r="I37" s="151">
        <f t="shared" si="10"/>
        <v>868.7</v>
      </c>
    </row>
    <row r="38" spans="1:9" x14ac:dyDescent="0.3">
      <c r="A38" s="85" t="s">
        <v>83</v>
      </c>
      <c r="B38" s="19" t="str">
        <f>A38</f>
        <v>Tributários fiscais e taxas</v>
      </c>
      <c r="C38" s="20">
        <v>0</v>
      </c>
      <c r="D38" s="43">
        <v>3365.05</v>
      </c>
      <c r="E38" s="16">
        <f t="shared" si="0"/>
        <v>-1</v>
      </c>
      <c r="F38" s="44">
        <v>0</v>
      </c>
      <c r="G38" s="22">
        <f t="shared" si="1"/>
        <v>0</v>
      </c>
      <c r="H38" s="118">
        <v>1087.28</v>
      </c>
      <c r="I38" s="118">
        <v>868.7</v>
      </c>
    </row>
    <row r="39" spans="1:9" x14ac:dyDescent="0.3">
      <c r="B39" s="26" t="s">
        <v>51</v>
      </c>
      <c r="C39" s="51">
        <f>SUM(C37+C33+C31+C29+C25+C22+C17)</f>
        <v>4082836.4683650183</v>
      </c>
      <c r="D39" s="49">
        <f>SUM(D37+D33+D31+D29+D25+D22+D17)</f>
        <v>3497002.4849738078</v>
      </c>
      <c r="E39" s="121">
        <f t="shared" si="0"/>
        <v>0.16752461169486366</v>
      </c>
      <c r="F39" s="49">
        <f>SUM(F37+F33+F31+F29+F25+F22+F17)</f>
        <v>3605879.9099999992</v>
      </c>
      <c r="G39" s="122">
        <f t="shared" si="1"/>
        <v>0.13227189209554657</v>
      </c>
      <c r="H39" s="150">
        <f t="shared" ref="H39:I39" si="11">SUM(H37+H33+H31+H29+H25+H22+H17)</f>
        <v>3325942.9</v>
      </c>
      <c r="I39" s="142">
        <f t="shared" si="11"/>
        <v>2777207.3</v>
      </c>
    </row>
  </sheetData>
  <mergeCells count="3">
    <mergeCell ref="B3:B4"/>
    <mergeCell ref="B9:B10"/>
    <mergeCell ref="B15:B16"/>
  </mergeCells>
  <pageMargins left="0.511811024" right="0.511811024" top="0.78740157499999996" bottom="0.78740157499999996" header="0.31496062000000002" footer="0.31496062000000002"/>
  <ignoredErrors>
    <ignoredError sqref="F25 F37 H29:I29 C29:D29 C37:D37 C25:D25 F29 C31:D33 F31:F33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1"/>
  <sheetViews>
    <sheetView showGridLines="0" showRowColHeaders="0" topLeftCell="B20" workbookViewId="0">
      <selection activeCell="C33" sqref="C33"/>
    </sheetView>
  </sheetViews>
  <sheetFormatPr defaultRowHeight="14.4" x14ac:dyDescent="0.3"/>
  <cols>
    <col min="1" max="1" width="23.21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222</v>
      </c>
      <c r="C1" s="35"/>
      <c r="D1" s="35"/>
      <c r="E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38" t="str">
        <f>B5</f>
        <v>Serviços Gerais</v>
      </c>
      <c r="B5" s="61" t="s">
        <v>223</v>
      </c>
      <c r="C5" s="40">
        <v>36993426</v>
      </c>
      <c r="D5" s="41">
        <v>35103939.525255613</v>
      </c>
      <c r="E5" s="129">
        <f>IFERROR(C5/D5-1,0)</f>
        <v>5.3825482276283809E-2</v>
      </c>
      <c r="F5" s="42">
        <v>34710026.620000005</v>
      </c>
      <c r="G5" s="133">
        <f>IFERROR(C5/F5-1,0)</f>
        <v>6.5785008032356096E-2</v>
      </c>
      <c r="H5" s="147">
        <v>33265140.709999971</v>
      </c>
      <c r="I5" s="147">
        <v>29929990.809999995</v>
      </c>
    </row>
    <row r="6" spans="1:9" x14ac:dyDescent="0.3">
      <c r="B6" s="46" t="s">
        <v>51</v>
      </c>
      <c r="C6" s="51">
        <f>SUM(C5)</f>
        <v>36993426</v>
      </c>
      <c r="D6" s="49">
        <f>SUM(D5)</f>
        <v>35103939.525255613</v>
      </c>
      <c r="E6" s="121">
        <f t="shared" ref="E6:E23" si="0">IFERROR(C6/D6-1,0)</f>
        <v>5.3825482276283809E-2</v>
      </c>
      <c r="F6" s="49">
        <f>SUM(F5)</f>
        <v>34710026.620000005</v>
      </c>
      <c r="G6" s="122">
        <f t="shared" ref="G6:G21" si="1">IFERROR(C6/F6-1,0)</f>
        <v>6.5785008032356096E-2</v>
      </c>
      <c r="H6" s="150">
        <f t="shared" ref="H6:I6" si="2">SUM(H5)</f>
        <v>33265140.709999971</v>
      </c>
      <c r="I6" s="142">
        <f t="shared" si="2"/>
        <v>29929990.809999995</v>
      </c>
    </row>
    <row r="7" spans="1:9" x14ac:dyDescent="0.3">
      <c r="B7" s="38"/>
      <c r="C7" s="50"/>
      <c r="D7" s="50"/>
      <c r="H7" s="50"/>
      <c r="I7" s="50"/>
    </row>
    <row r="8" spans="1:9" x14ac:dyDescent="0.3">
      <c r="B8" s="202" t="s">
        <v>52</v>
      </c>
      <c r="C8" s="8"/>
      <c r="D8" s="8"/>
      <c r="E8" s="36"/>
      <c r="F8" s="36"/>
      <c r="G8" s="36"/>
      <c r="H8" s="8"/>
      <c r="I8" s="8"/>
    </row>
    <row r="9" spans="1:9" ht="43.2" x14ac:dyDescent="0.3">
      <c r="B9" s="203"/>
      <c r="C9" s="10" t="str">
        <f>'23-Despesas '!C$4</f>
        <v>Orçamento 2026</v>
      </c>
      <c r="D9" s="10" t="str">
        <f>'23-Despesas '!D$4</f>
        <v>Projeção 2025</v>
      </c>
      <c r="E9" s="11" t="s">
        <v>6</v>
      </c>
      <c r="F9" s="37" t="str">
        <f>'23-Despesas '!F$4</f>
        <v>Orçamento 2025</v>
      </c>
      <c r="G9" s="12" t="s">
        <v>8</v>
      </c>
      <c r="H9" s="10" t="str">
        <f>'23-Despesas '!F$4</f>
        <v>Orçamento 2025</v>
      </c>
      <c r="I9" s="10" t="str">
        <f>'23-Despesas '!G$4</f>
        <v>Variação
Orç 2026 vs Orç 2025</v>
      </c>
    </row>
    <row r="10" spans="1:9" x14ac:dyDescent="0.3">
      <c r="A10" s="115" t="s">
        <v>224</v>
      </c>
      <c r="B10" s="19" t="str">
        <f>A10</f>
        <v>Limpeza</v>
      </c>
      <c r="C10" s="20">
        <v>14564439</v>
      </c>
      <c r="D10" s="43">
        <v>13135951.545308961</v>
      </c>
      <c r="E10" s="16">
        <f t="shared" si="0"/>
        <v>0.10874640103260536</v>
      </c>
      <c r="F10" s="44">
        <v>13506837.919999987</v>
      </c>
      <c r="G10" s="22">
        <f>IFERROR(C10/F10-1,0)</f>
        <v>7.8301160217077337E-2</v>
      </c>
      <c r="H10" s="118">
        <v>12272705.710000005</v>
      </c>
      <c r="I10" s="118">
        <v>11165706.039999999</v>
      </c>
    </row>
    <row r="11" spans="1:9" x14ac:dyDescent="0.3">
      <c r="A11" s="115" t="s">
        <v>225</v>
      </c>
      <c r="B11" s="19" t="str">
        <f t="shared" ref="B11:B22" si="3">A11</f>
        <v>Zeladoria de Vestiários</v>
      </c>
      <c r="C11" s="20">
        <v>6715014.6721467525</v>
      </c>
      <c r="D11" s="118">
        <v>6356469.7696369234</v>
      </c>
      <c r="E11" s="141">
        <f t="shared" si="0"/>
        <v>5.6406293981369648E-2</v>
      </c>
      <c r="F11" s="119">
        <v>6245534.2400000039</v>
      </c>
      <c r="G11" s="22">
        <f>IFERROR(C11/F11-1,0)</f>
        <v>7.51705801466791E-2</v>
      </c>
      <c r="H11" s="118">
        <v>6132871.2600000035</v>
      </c>
      <c r="I11" s="118">
        <v>5404107.4699999997</v>
      </c>
    </row>
    <row r="12" spans="1:9" x14ac:dyDescent="0.3">
      <c r="A12" s="115" t="s">
        <v>226</v>
      </c>
      <c r="B12" s="19" t="str">
        <f t="shared" si="3"/>
        <v>Zeladoria Esportiva</v>
      </c>
      <c r="C12" s="20">
        <v>3658074.4405609719</v>
      </c>
      <c r="D12" s="118">
        <v>3714089.8920811652</v>
      </c>
      <c r="E12" s="141">
        <f t="shared" si="0"/>
        <v>-1.5081878238764279E-2</v>
      </c>
      <c r="F12" s="119">
        <v>3629062.9500000016</v>
      </c>
      <c r="G12" s="22">
        <f>IFERROR(C12/F12-1,0)</f>
        <v>7.9942097893259678E-3</v>
      </c>
      <c r="H12" s="118">
        <v>3624861.0300000012</v>
      </c>
      <c r="I12" s="118">
        <v>3253041.58</v>
      </c>
    </row>
    <row r="13" spans="1:9" x14ac:dyDescent="0.3">
      <c r="A13" s="115" t="s">
        <v>227</v>
      </c>
      <c r="B13" s="19" t="str">
        <f t="shared" si="3"/>
        <v>Salva Vidas</v>
      </c>
      <c r="C13" s="20">
        <v>2765354.6911056153</v>
      </c>
      <c r="D13" s="118">
        <v>2805234.9310250217</v>
      </c>
      <c r="E13" s="141">
        <f t="shared" si="0"/>
        <v>-1.421636365580059E-2</v>
      </c>
      <c r="F13" s="119">
        <v>2777948.9800000004</v>
      </c>
      <c r="G13" s="24">
        <f t="shared" si="1"/>
        <v>-4.5336645795363006E-3</v>
      </c>
      <c r="H13" s="118">
        <v>2629644.6999999993</v>
      </c>
      <c r="I13" s="118">
        <v>2288249.6599999997</v>
      </c>
    </row>
    <row r="14" spans="1:9" x14ac:dyDescent="0.3">
      <c r="A14" s="115" t="s">
        <v>228</v>
      </c>
      <c r="B14" s="19" t="str">
        <f t="shared" si="3"/>
        <v>Jardinagem</v>
      </c>
      <c r="C14" s="20">
        <v>2152117.2160600722</v>
      </c>
      <c r="D14" s="118">
        <v>2308180.2320261011</v>
      </c>
      <c r="E14" s="141">
        <f t="shared" si="0"/>
        <v>-6.7613011237444898E-2</v>
      </c>
      <c r="F14" s="119">
        <v>2092364.9599999997</v>
      </c>
      <c r="G14" s="24">
        <f t="shared" si="1"/>
        <v>2.855728192851803E-2</v>
      </c>
      <c r="H14" s="118">
        <v>2355902.9299999997</v>
      </c>
      <c r="I14" s="118">
        <v>2274393.3800000004</v>
      </c>
    </row>
    <row r="15" spans="1:9" x14ac:dyDescent="0.3">
      <c r="A15" s="115" t="s">
        <v>229</v>
      </c>
      <c r="B15" s="19" t="str">
        <f t="shared" si="3"/>
        <v>Administração de Serviços Gerais</v>
      </c>
      <c r="C15" s="20">
        <v>1843573.7395367844</v>
      </c>
      <c r="D15" s="118">
        <v>1643262.382763725</v>
      </c>
      <c r="E15" s="141">
        <f t="shared" si="0"/>
        <v>0.12189858349715599</v>
      </c>
      <c r="F15" s="119">
        <v>1486586.3599999992</v>
      </c>
      <c r="G15" s="22">
        <f t="shared" si="1"/>
        <v>0.24013901186123188</v>
      </c>
      <c r="H15" s="118">
        <v>1376677.5899999985</v>
      </c>
      <c r="I15" s="118">
        <v>1417721.3199999998</v>
      </c>
    </row>
    <row r="16" spans="1:9" x14ac:dyDescent="0.3">
      <c r="A16" s="115" t="s">
        <v>230</v>
      </c>
      <c r="B16" s="19" t="str">
        <f t="shared" si="3"/>
        <v>Apoio Operacional</v>
      </c>
      <c r="C16" s="20">
        <v>1263119.0973246892</v>
      </c>
      <c r="D16" s="118">
        <v>1201662.4092713138</v>
      </c>
      <c r="E16" s="141">
        <f t="shared" si="0"/>
        <v>5.1143056135576792E-2</v>
      </c>
      <c r="F16" s="119">
        <v>1237908.3399999996</v>
      </c>
      <c r="G16" s="24">
        <f t="shared" si="1"/>
        <v>2.0365609076266056E-2</v>
      </c>
      <c r="H16" s="118">
        <v>1127187.1800000004</v>
      </c>
      <c r="I16" s="118">
        <v>793584.69000000006</v>
      </c>
    </row>
    <row r="17" spans="1:9" x14ac:dyDescent="0.3">
      <c r="A17" s="115" t="s">
        <v>232</v>
      </c>
      <c r="B17" s="19" t="str">
        <f t="shared" si="3"/>
        <v>Lavanderia</v>
      </c>
      <c r="C17" s="20">
        <v>957692.31639905728</v>
      </c>
      <c r="D17" s="118">
        <v>842284.36973099667</v>
      </c>
      <c r="E17" s="141">
        <f t="shared" si="0"/>
        <v>0.13701779448301865</v>
      </c>
      <c r="F17" s="119">
        <v>792560.32000000018</v>
      </c>
      <c r="G17" s="22">
        <f t="shared" si="1"/>
        <v>0.2083525912564701</v>
      </c>
      <c r="H17" s="118">
        <v>751580.31</v>
      </c>
      <c r="I17" s="118">
        <v>676437.10000000009</v>
      </c>
    </row>
    <row r="18" spans="1:9" x14ac:dyDescent="0.3">
      <c r="A18" s="115" t="s">
        <v>231</v>
      </c>
      <c r="B18" s="19" t="str">
        <f t="shared" si="3"/>
        <v>Carrinhos Elétricos</v>
      </c>
      <c r="C18" s="20">
        <v>856284.01565286098</v>
      </c>
      <c r="D18" s="118">
        <v>1634488.8691275856</v>
      </c>
      <c r="E18" s="141">
        <f t="shared" si="0"/>
        <v>-0.47611511352175451</v>
      </c>
      <c r="F18" s="119">
        <v>1570349.7399999998</v>
      </c>
      <c r="G18" s="24">
        <f t="shared" si="1"/>
        <v>-0.45471763783470232</v>
      </c>
      <c r="H18" s="118">
        <v>1490686.2799999996</v>
      </c>
      <c r="I18" s="118">
        <v>1346140.15</v>
      </c>
    </row>
    <row r="19" spans="1:9" x14ac:dyDescent="0.3">
      <c r="A19" s="115" t="s">
        <v>233</v>
      </c>
      <c r="B19" s="19" t="str">
        <f t="shared" si="3"/>
        <v>Transporte Externo</v>
      </c>
      <c r="C19" s="20">
        <v>797011.94609450956</v>
      </c>
      <c r="D19" s="118">
        <v>0</v>
      </c>
      <c r="E19" s="141">
        <f t="shared" si="0"/>
        <v>0</v>
      </c>
      <c r="F19" s="119">
        <v>0</v>
      </c>
      <c r="G19" s="24">
        <f t="shared" si="1"/>
        <v>0</v>
      </c>
      <c r="H19" s="118">
        <v>0</v>
      </c>
      <c r="I19" s="118">
        <v>0</v>
      </c>
    </row>
    <row r="20" spans="1:9" x14ac:dyDescent="0.3">
      <c r="A20" s="115" t="s">
        <v>234</v>
      </c>
      <c r="B20" s="19" t="str">
        <f t="shared" si="3"/>
        <v>Gestão de Resíduos</v>
      </c>
      <c r="C20" s="20">
        <v>720000</v>
      </c>
      <c r="D20" s="118">
        <v>654200.42922348226</v>
      </c>
      <c r="E20" s="141">
        <f t="shared" si="0"/>
        <v>0.10058014002623028</v>
      </c>
      <c r="F20" s="119">
        <v>621220.92000000016</v>
      </c>
      <c r="G20" s="22">
        <f t="shared" si="1"/>
        <v>0.15900797416802992</v>
      </c>
      <c r="H20" s="118">
        <v>621985.82000000007</v>
      </c>
      <c r="I20" s="118">
        <v>458274.53</v>
      </c>
    </row>
    <row r="21" spans="1:9" x14ac:dyDescent="0.3">
      <c r="A21" s="115" t="s">
        <v>235</v>
      </c>
      <c r="B21" s="19" t="str">
        <f t="shared" si="3"/>
        <v>Pequenos Reparos</v>
      </c>
      <c r="C21" s="20">
        <v>428885.22182297334</v>
      </c>
      <c r="D21" s="118">
        <v>531413.20831812266</v>
      </c>
      <c r="E21" s="141">
        <f t="shared" si="0"/>
        <v>-0.19293458440681521</v>
      </c>
      <c r="F21" s="119">
        <v>469580.28999999986</v>
      </c>
      <c r="G21" s="22">
        <f t="shared" si="1"/>
        <v>-8.6662641179054867E-2</v>
      </c>
      <c r="H21" s="118">
        <v>591801.39</v>
      </c>
      <c r="I21" s="118">
        <v>591301.78</v>
      </c>
    </row>
    <row r="22" spans="1:9" x14ac:dyDescent="0.3">
      <c r="A22" s="115" t="s">
        <v>236</v>
      </c>
      <c r="B22" s="19" t="str">
        <f t="shared" si="3"/>
        <v>Mini Zoo</v>
      </c>
      <c r="C22" s="20">
        <v>271859.14541574492</v>
      </c>
      <c r="D22" s="118">
        <v>276701.4867422494</v>
      </c>
      <c r="E22" s="141">
        <f t="shared" si="0"/>
        <v>-1.7500236025168814E-2</v>
      </c>
      <c r="F22" s="119">
        <v>280071.59999999992</v>
      </c>
      <c r="G22" s="22">
        <f>IFERROR(C22/F22-1,0)</f>
        <v>-2.9322696711323148E-2</v>
      </c>
      <c r="H22" s="118">
        <v>289236.50999999989</v>
      </c>
      <c r="I22" s="118">
        <v>261033.11000000002</v>
      </c>
    </row>
    <row r="23" spans="1:9" x14ac:dyDescent="0.3">
      <c r="B23" s="46" t="s">
        <v>51</v>
      </c>
      <c r="C23" s="51">
        <f>SUM(C10:C22)</f>
        <v>36993425.502120025</v>
      </c>
      <c r="D23" s="28">
        <f>SUM(D10:D22)</f>
        <v>35103939.52525565</v>
      </c>
      <c r="E23" s="121">
        <f t="shared" si="0"/>
        <v>5.3825468093259943E-2</v>
      </c>
      <c r="F23" s="28">
        <f>SUM(F10:F22)</f>
        <v>34710026.61999999</v>
      </c>
      <c r="G23" s="120">
        <f>IFERROR(C23/F23-1,0)</f>
        <v>6.5784993688375204E-2</v>
      </c>
      <c r="H23" s="150">
        <f t="shared" ref="H23:I23" si="4">SUM(H10:H22)</f>
        <v>33265140.710000008</v>
      </c>
      <c r="I23" s="142">
        <f t="shared" si="4"/>
        <v>29929990.809999999</v>
      </c>
    </row>
    <row r="24" spans="1:9" x14ac:dyDescent="0.3">
      <c r="B24" s="38"/>
      <c r="C24" s="50"/>
      <c r="D24" s="50"/>
      <c r="H24" s="50"/>
      <c r="I24" s="50"/>
    </row>
    <row r="25" spans="1:9" x14ac:dyDescent="0.3">
      <c r="B25" s="202" t="s">
        <v>56</v>
      </c>
      <c r="C25" s="8"/>
      <c r="D25" s="8"/>
      <c r="E25" s="36"/>
      <c r="F25" s="36"/>
      <c r="G25" s="36"/>
      <c r="H25" s="8"/>
      <c r="I25" s="8"/>
    </row>
    <row r="26" spans="1:9" ht="43.2" x14ac:dyDescent="0.3">
      <c r="B26" s="203"/>
      <c r="C26" s="10" t="str">
        <f>'23-Despesas '!C$4</f>
        <v>Orçamento 2026</v>
      </c>
      <c r="D26" s="10" t="str">
        <f>'23-Despesas '!D$4</f>
        <v>Projeção 2025</v>
      </c>
      <c r="E26" s="11" t="s">
        <v>6</v>
      </c>
      <c r="F26" s="37" t="str">
        <f>'23-Despesas '!F$4</f>
        <v>Orçamento 2025</v>
      </c>
      <c r="G26" s="12" t="s">
        <v>8</v>
      </c>
      <c r="H26" s="10" t="str">
        <f>'23-Despesas '!F$4</f>
        <v>Orçamento 2025</v>
      </c>
      <c r="I26" s="10" t="str">
        <f>'23-Despesas '!G$4</f>
        <v>Variação
Orç 2026 vs Orç 2025</v>
      </c>
    </row>
    <row r="27" spans="1:9" x14ac:dyDescent="0.3">
      <c r="B27" s="39" t="s">
        <v>57</v>
      </c>
      <c r="C27" s="53">
        <f>SUM(C28:C31)</f>
        <v>19813855.233527057</v>
      </c>
      <c r="D27" s="54">
        <f>SUM(D28:D31)</f>
        <v>19345167.064256649</v>
      </c>
      <c r="E27" s="129">
        <f t="shared" ref="E27:E49" si="5">IFERROR(C27/D27-1,0)</f>
        <v>2.4227662015717799E-2</v>
      </c>
      <c r="F27" s="55">
        <f>SUM(F28:F31)</f>
        <v>18467997.620000012</v>
      </c>
      <c r="G27" s="138">
        <f t="shared" ref="G27:G49" si="6">IFERROR(C27/F27-1,0)</f>
        <v>7.2875123834190925E-2</v>
      </c>
      <c r="H27" s="151">
        <f t="shared" ref="H27:I27" si="7">SUM(H28:H31)</f>
        <v>18119351.729999986</v>
      </c>
      <c r="I27" s="151">
        <f t="shared" si="7"/>
        <v>16526619.949999997</v>
      </c>
    </row>
    <row r="28" spans="1:9" x14ac:dyDescent="0.3">
      <c r="A28" s="85" t="s">
        <v>58</v>
      </c>
      <c r="B28" s="19" t="str">
        <f>A28</f>
        <v>Salários e provisões</v>
      </c>
      <c r="C28" s="20">
        <v>11507196.463133084</v>
      </c>
      <c r="D28" s="43">
        <v>11166918.704497576</v>
      </c>
      <c r="E28" s="16">
        <f t="shared" si="5"/>
        <v>3.0471947333014837E-2</v>
      </c>
      <c r="F28" s="44">
        <v>10468233.380000001</v>
      </c>
      <c r="G28" s="24">
        <f t="shared" si="6"/>
        <v>9.9249132629968484E-2</v>
      </c>
      <c r="H28" s="118">
        <v>10443077.149999991</v>
      </c>
      <c r="I28" s="118">
        <v>9572017.2799999975</v>
      </c>
    </row>
    <row r="29" spans="1:9" x14ac:dyDescent="0.3">
      <c r="A29" s="85" t="s">
        <v>60</v>
      </c>
      <c r="B29" s="19" t="str">
        <f>A29</f>
        <v>Benefícios</v>
      </c>
      <c r="C29" s="20">
        <v>4221604.0259817252</v>
      </c>
      <c r="D29" s="43">
        <v>4149444.2220428903</v>
      </c>
      <c r="E29" s="16">
        <f t="shared" si="5"/>
        <v>1.7390233505370167E-2</v>
      </c>
      <c r="F29" s="44">
        <v>4334287.4900000058</v>
      </c>
      <c r="G29" s="24">
        <f t="shared" si="6"/>
        <v>-2.599815177887066E-2</v>
      </c>
      <c r="H29" s="118">
        <v>3888455.7299999958</v>
      </c>
      <c r="I29" s="118">
        <v>3507986.47</v>
      </c>
    </row>
    <row r="30" spans="1:9" x14ac:dyDescent="0.3">
      <c r="A30" s="85" t="s">
        <v>59</v>
      </c>
      <c r="B30" s="19" t="str">
        <f>A30</f>
        <v>Encargos sociais</v>
      </c>
      <c r="C30" s="20">
        <v>4085054.7444122462</v>
      </c>
      <c r="D30" s="43">
        <v>4022328.7777161845</v>
      </c>
      <c r="E30" s="16">
        <f t="shared" si="5"/>
        <v>1.5594440475270366E-2</v>
      </c>
      <c r="F30" s="44">
        <v>3665476.7500000037</v>
      </c>
      <c r="G30" s="24">
        <f t="shared" si="6"/>
        <v>0.114467509420771</v>
      </c>
      <c r="H30" s="118">
        <v>3778589.0400000005</v>
      </c>
      <c r="I30" s="118">
        <v>3437038.94</v>
      </c>
    </row>
    <row r="31" spans="1:9" x14ac:dyDescent="0.3">
      <c r="A31" s="85" t="s">
        <v>61</v>
      </c>
      <c r="B31" s="19" t="str">
        <f>A31</f>
        <v>Outros</v>
      </c>
      <c r="C31" s="20">
        <v>0</v>
      </c>
      <c r="D31" s="43">
        <v>6475.36</v>
      </c>
      <c r="E31" s="16">
        <f t="shared" si="5"/>
        <v>-1</v>
      </c>
      <c r="F31" s="44">
        <v>0</v>
      </c>
      <c r="G31" s="24">
        <f t="shared" si="6"/>
        <v>0</v>
      </c>
      <c r="H31" s="118">
        <v>9229.81</v>
      </c>
      <c r="I31" s="118">
        <v>9577.2599999999984</v>
      </c>
    </row>
    <row r="32" spans="1:9" x14ac:dyDescent="0.3">
      <c r="B32" s="39" t="s">
        <v>62</v>
      </c>
      <c r="C32" s="53">
        <f>SUM(C33:C33)</f>
        <v>14226199</v>
      </c>
      <c r="D32" s="54">
        <f>SUM(D33:D33)</f>
        <v>12847371.332564114</v>
      </c>
      <c r="E32" s="131">
        <f t="shared" si="5"/>
        <v>0.10732371873933344</v>
      </c>
      <c r="F32" s="55">
        <f>SUM(F33:F33)</f>
        <v>12955568.300000006</v>
      </c>
      <c r="G32" s="137">
        <f t="shared" si="6"/>
        <v>9.8076029594162506E-2</v>
      </c>
      <c r="H32" s="151">
        <f t="shared" ref="H32:I32" si="8">SUM(H33:H33)</f>
        <v>12523644.060000001</v>
      </c>
      <c r="I32" s="151">
        <f t="shared" si="8"/>
        <v>10927648.82</v>
      </c>
    </row>
    <row r="33" spans="1:9" s="38" customFormat="1" x14ac:dyDescent="0.3">
      <c r="A33" s="85" t="s">
        <v>63</v>
      </c>
      <c r="B33" s="19" t="str">
        <f>A33</f>
        <v>Serviços contratados</v>
      </c>
      <c r="C33" s="20">
        <v>14226199</v>
      </c>
      <c r="D33" s="43">
        <v>12847371.332564114</v>
      </c>
      <c r="E33" s="124">
        <f t="shared" si="5"/>
        <v>0.10732371873933344</v>
      </c>
      <c r="F33" s="44">
        <v>12955568.300000006</v>
      </c>
      <c r="G33" s="135">
        <f t="shared" si="6"/>
        <v>9.8076029594162506E-2</v>
      </c>
      <c r="H33" s="118">
        <v>12523644.060000001</v>
      </c>
      <c r="I33" s="118">
        <v>10927648.82</v>
      </c>
    </row>
    <row r="34" spans="1:9" x14ac:dyDescent="0.3">
      <c r="B34" s="39" t="s">
        <v>64</v>
      </c>
      <c r="C34" s="53">
        <f>SUM(C35:C37)</f>
        <v>2580091.7200000007</v>
      </c>
      <c r="D34" s="54">
        <f>SUM(D35:D37)</f>
        <v>2573433.6613460961</v>
      </c>
      <c r="E34" s="129">
        <f t="shared" si="5"/>
        <v>2.5872276227325575E-3</v>
      </c>
      <c r="F34" s="55">
        <f>SUM(F35:F37)</f>
        <v>3014700</v>
      </c>
      <c r="G34" s="137">
        <f t="shared" si="6"/>
        <v>-0.144163027830298</v>
      </c>
      <c r="H34" s="151">
        <f t="shared" ref="H34:I34" si="9">SUM(H35:H37)</f>
        <v>2372895.8199999998</v>
      </c>
      <c r="I34" s="151">
        <f t="shared" si="9"/>
        <v>2308312.9</v>
      </c>
    </row>
    <row r="35" spans="1:9" x14ac:dyDescent="0.3">
      <c r="A35" s="85" t="s">
        <v>67</v>
      </c>
      <c r="B35" s="19" t="str">
        <f>A35</f>
        <v>Mercadoria de uso geral</v>
      </c>
      <c r="C35" s="20">
        <v>1964491.7200000004</v>
      </c>
      <c r="D35" s="43">
        <v>1912175.7473989725</v>
      </c>
      <c r="E35" s="16">
        <f t="shared" si="5"/>
        <v>2.7359395532649433E-2</v>
      </c>
      <c r="F35" s="44">
        <v>2312000</v>
      </c>
      <c r="G35" s="136">
        <f t="shared" si="6"/>
        <v>-0.15030634948096866</v>
      </c>
      <c r="H35" s="118">
        <v>1713868.9100000001</v>
      </c>
      <c r="I35" s="118">
        <v>1761018.3199999998</v>
      </c>
    </row>
    <row r="36" spans="1:9" x14ac:dyDescent="0.3">
      <c r="A36" s="85" t="s">
        <v>65</v>
      </c>
      <c r="B36" s="19" t="str">
        <f>A36</f>
        <v>Material de consumo geral</v>
      </c>
      <c r="C36" s="20">
        <v>560800</v>
      </c>
      <c r="D36" s="43">
        <v>608830.87893571041</v>
      </c>
      <c r="E36" s="16">
        <f t="shared" si="5"/>
        <v>-7.8890346395821043E-2</v>
      </c>
      <c r="F36" s="44">
        <v>653500</v>
      </c>
      <c r="G36" s="136">
        <f t="shared" si="6"/>
        <v>-0.14185156847742919</v>
      </c>
      <c r="H36" s="118">
        <v>612952.84999999974</v>
      </c>
      <c r="I36" s="118">
        <v>562300.67999999993</v>
      </c>
    </row>
    <row r="37" spans="1:9" x14ac:dyDescent="0.3">
      <c r="A37" s="85" t="s">
        <v>66</v>
      </c>
      <c r="B37" s="56" t="str">
        <f>A37</f>
        <v>Mercadoria de revenda e consumo</v>
      </c>
      <c r="C37" s="20">
        <v>54800</v>
      </c>
      <c r="D37" s="58">
        <v>52427.035011412925</v>
      </c>
      <c r="E37" s="16">
        <f t="shared" si="5"/>
        <v>4.5262238996931714E-2</v>
      </c>
      <c r="F37" s="59">
        <v>49200</v>
      </c>
      <c r="G37" s="135">
        <f t="shared" si="6"/>
        <v>0.11382113821138207</v>
      </c>
      <c r="H37" s="118">
        <v>46074.05999999999</v>
      </c>
      <c r="I37" s="118">
        <v>-15006.099999999991</v>
      </c>
    </row>
    <row r="38" spans="1:9" s="45" customFormat="1" hidden="1" x14ac:dyDescent="0.3">
      <c r="B38" s="61" t="s">
        <v>68</v>
      </c>
      <c r="C38" s="40">
        <f>SUM(C39)</f>
        <v>0</v>
      </c>
      <c r="D38" s="62">
        <f>SUM(D39)</f>
        <v>0</v>
      </c>
      <c r="E38" s="16">
        <f t="shared" si="5"/>
        <v>0</v>
      </c>
      <c r="F38" s="63">
        <f>SUM(F39)</f>
        <v>0</v>
      </c>
      <c r="G38" s="24">
        <f t="shared" si="6"/>
        <v>0</v>
      </c>
      <c r="H38" s="147">
        <f t="shared" ref="H38:I38" si="10">SUM(H39)</f>
        <v>0</v>
      </c>
      <c r="I38" s="147">
        <f t="shared" si="10"/>
        <v>0</v>
      </c>
    </row>
    <row r="39" spans="1:9" hidden="1" x14ac:dyDescent="0.3">
      <c r="B39" s="19" t="s">
        <v>68</v>
      </c>
      <c r="C39" s="20">
        <v>0</v>
      </c>
      <c r="D39" s="43">
        <v>0</v>
      </c>
      <c r="E39" s="16">
        <f t="shared" si="5"/>
        <v>0</v>
      </c>
      <c r="F39" s="44">
        <v>0</v>
      </c>
      <c r="G39" s="24">
        <f t="shared" si="6"/>
        <v>0</v>
      </c>
      <c r="H39" s="118">
        <v>0</v>
      </c>
      <c r="I39" s="118">
        <v>0</v>
      </c>
    </row>
    <row r="40" spans="1:9" hidden="1" x14ac:dyDescent="0.3">
      <c r="B40" s="39" t="s">
        <v>69</v>
      </c>
      <c r="C40" s="53">
        <f>SUM(C41:C42)</f>
        <v>0</v>
      </c>
      <c r="D40" s="54">
        <f>SUM(D41:D42)</f>
        <v>0</v>
      </c>
      <c r="E40" s="16">
        <f t="shared" si="5"/>
        <v>0</v>
      </c>
      <c r="F40" s="55">
        <f>SUM(F41:F42)</f>
        <v>0</v>
      </c>
      <c r="G40" s="24">
        <f t="shared" si="6"/>
        <v>0</v>
      </c>
      <c r="H40" s="151">
        <f t="shared" ref="H40:I40" si="11">SUM(H41:H42)</f>
        <v>0</v>
      </c>
      <c r="I40" s="151">
        <f t="shared" si="11"/>
        <v>0</v>
      </c>
    </row>
    <row r="41" spans="1:9" hidden="1" x14ac:dyDescent="0.3">
      <c r="B41" s="19" t="s">
        <v>81</v>
      </c>
      <c r="C41" s="20">
        <v>0</v>
      </c>
      <c r="D41" s="43">
        <v>0</v>
      </c>
      <c r="E41" s="16">
        <f t="shared" si="5"/>
        <v>0</v>
      </c>
      <c r="F41" s="44">
        <v>0</v>
      </c>
      <c r="G41" s="24">
        <f t="shared" si="6"/>
        <v>0</v>
      </c>
      <c r="H41" s="118">
        <v>0</v>
      </c>
      <c r="I41" s="118">
        <v>0</v>
      </c>
    </row>
    <row r="42" spans="1:9" hidden="1" x14ac:dyDescent="0.3">
      <c r="B42" s="19" t="s">
        <v>70</v>
      </c>
      <c r="C42" s="20">
        <v>0</v>
      </c>
      <c r="D42" s="43">
        <v>0</v>
      </c>
      <c r="E42" s="16">
        <f t="shared" si="5"/>
        <v>0</v>
      </c>
      <c r="F42" s="44">
        <v>0</v>
      </c>
      <c r="G42" s="24">
        <f t="shared" si="6"/>
        <v>0</v>
      </c>
      <c r="H42" s="118">
        <v>0</v>
      </c>
      <c r="I42" s="118">
        <v>0</v>
      </c>
    </row>
    <row r="43" spans="1:9" x14ac:dyDescent="0.3">
      <c r="B43" s="39" t="s">
        <v>71</v>
      </c>
      <c r="C43" s="53">
        <f>SUM(C44:C46)</f>
        <v>349200</v>
      </c>
      <c r="D43" s="54">
        <f>SUM(D44:D46)</f>
        <v>317328.42708880547</v>
      </c>
      <c r="E43" s="131">
        <f t="shared" si="5"/>
        <v>0.10043718176649574</v>
      </c>
      <c r="F43" s="55">
        <f>SUM(F44:F46)</f>
        <v>247200</v>
      </c>
      <c r="G43" s="137">
        <f t="shared" si="6"/>
        <v>0.41262135922330101</v>
      </c>
      <c r="H43" s="151">
        <f t="shared" ref="H43:I43" si="12">SUM(H44:H46)</f>
        <v>227899.16999999998</v>
      </c>
      <c r="I43" s="151">
        <f t="shared" si="12"/>
        <v>142448.69999999998</v>
      </c>
    </row>
    <row r="44" spans="1:9" x14ac:dyDescent="0.3">
      <c r="A44" s="85" t="s">
        <v>73</v>
      </c>
      <c r="B44" s="19" t="str">
        <f>A44</f>
        <v>Outros gastos gerais</v>
      </c>
      <c r="C44" s="20">
        <v>244800</v>
      </c>
      <c r="D44" s="43">
        <v>254424.49168654246</v>
      </c>
      <c r="E44" s="127">
        <f t="shared" si="5"/>
        <v>-3.7828479572635132E-2</v>
      </c>
      <c r="F44" s="44">
        <v>223200</v>
      </c>
      <c r="G44" s="136">
        <f t="shared" si="6"/>
        <v>9.6774193548387011E-2</v>
      </c>
      <c r="H44" s="118">
        <v>173976.44</v>
      </c>
      <c r="I44" s="118">
        <v>113888.68</v>
      </c>
    </row>
    <row r="45" spans="1:9" x14ac:dyDescent="0.3">
      <c r="A45" s="85" t="s">
        <v>72</v>
      </c>
      <c r="B45" s="19" t="str">
        <f>A45</f>
        <v>Locomoções gerais - viagens - estadias</v>
      </c>
      <c r="C45" s="20">
        <v>104400</v>
      </c>
      <c r="D45" s="43">
        <v>58240.315402263033</v>
      </c>
      <c r="E45" s="127">
        <f t="shared" si="5"/>
        <v>0.79257270979585637</v>
      </c>
      <c r="F45" s="44">
        <v>24000</v>
      </c>
      <c r="G45" s="136">
        <f t="shared" si="6"/>
        <v>3.3499999999999996</v>
      </c>
      <c r="H45" s="118">
        <v>41390.339999999997</v>
      </c>
      <c r="I45" s="118">
        <v>15532.239999999998</v>
      </c>
    </row>
    <row r="46" spans="1:9" x14ac:dyDescent="0.3">
      <c r="A46" s="85" t="s">
        <v>82</v>
      </c>
      <c r="B46" s="56" t="str">
        <f>A46</f>
        <v>Despesas financeiras</v>
      </c>
      <c r="C46" s="20">
        <v>0</v>
      </c>
      <c r="D46" s="58">
        <v>4663.62</v>
      </c>
      <c r="E46" s="124">
        <f t="shared" si="5"/>
        <v>-1</v>
      </c>
      <c r="F46" s="59">
        <v>0</v>
      </c>
      <c r="G46" s="135">
        <f t="shared" si="6"/>
        <v>0</v>
      </c>
      <c r="H46" s="118">
        <v>12532.389999999996</v>
      </c>
      <c r="I46" s="118">
        <v>13027.779999999999</v>
      </c>
    </row>
    <row r="47" spans="1:9" s="45" customFormat="1" x14ac:dyDescent="0.3">
      <c r="B47" s="39" t="s">
        <v>83</v>
      </c>
      <c r="C47" s="53">
        <f>SUM(C48)</f>
        <v>24080</v>
      </c>
      <c r="D47" s="65">
        <f>SUM(D48)</f>
        <v>20639.04</v>
      </c>
      <c r="E47" s="129">
        <f t="shared" si="5"/>
        <v>0.16672093275656219</v>
      </c>
      <c r="F47" s="66">
        <f>SUM(F48)</f>
        <v>24560.7</v>
      </c>
      <c r="G47" s="138">
        <f t="shared" si="6"/>
        <v>-1.9571917738500977E-2</v>
      </c>
      <c r="H47" s="151">
        <f t="shared" ref="H47:I47" si="13">SUM(H48)</f>
        <v>21349.929999999997</v>
      </c>
      <c r="I47" s="151">
        <f t="shared" si="13"/>
        <v>24960.440000000002</v>
      </c>
    </row>
    <row r="48" spans="1:9" x14ac:dyDescent="0.3">
      <c r="A48" s="85" t="s">
        <v>83</v>
      </c>
      <c r="B48" s="73" t="str">
        <f>A48</f>
        <v>Tributários fiscais e taxas</v>
      </c>
      <c r="C48" s="20">
        <v>24080</v>
      </c>
      <c r="D48" s="79">
        <v>20639.04</v>
      </c>
      <c r="E48" s="16">
        <f t="shared" si="5"/>
        <v>0.16672093275656219</v>
      </c>
      <c r="F48" s="70">
        <v>24560.7</v>
      </c>
      <c r="G48" s="24">
        <f t="shared" si="6"/>
        <v>-1.9571917738500977E-2</v>
      </c>
      <c r="H48" s="118">
        <v>21349.929999999997</v>
      </c>
      <c r="I48" s="118">
        <v>24960.440000000002</v>
      </c>
    </row>
    <row r="49" spans="2:9" x14ac:dyDescent="0.3">
      <c r="B49" s="26" t="s">
        <v>51</v>
      </c>
      <c r="C49" s="51">
        <f>SUM(C47+C43+C40+C38+C34+C32+C27)</f>
        <v>36993425.953527056</v>
      </c>
      <c r="D49" s="49">
        <f>SUM(D47+D43+D40+D38+D34+D32+D27)</f>
        <v>35103939.525255665</v>
      </c>
      <c r="E49" s="121">
        <f t="shared" si="5"/>
        <v>5.3825480952415461E-2</v>
      </c>
      <c r="F49" s="49">
        <f>SUM(F47+F43+F40+F38+F34+F32+F27)</f>
        <v>34710026.62000002</v>
      </c>
      <c r="G49" s="120">
        <f t="shared" si="6"/>
        <v>6.5785006693464654E-2</v>
      </c>
      <c r="H49" s="150">
        <f t="shared" ref="H49:I49" si="14">SUM(H47+H43+H40+H38+H34+H32+H27)</f>
        <v>33265140.709999986</v>
      </c>
      <c r="I49" s="142">
        <f t="shared" si="14"/>
        <v>29929990.809999995</v>
      </c>
    </row>
    <row r="51" spans="2:9" x14ac:dyDescent="0.3">
      <c r="C51" s="5">
        <f>C49-C23</f>
        <v>0.45140703022480011</v>
      </c>
    </row>
  </sheetData>
  <mergeCells count="3">
    <mergeCell ref="B3:B4"/>
    <mergeCell ref="B8:B9"/>
    <mergeCell ref="B25:B26"/>
  </mergeCells>
  <pageMargins left="0.511811024" right="0.511811024" top="0.78740157499999996" bottom="0.78740157499999996" header="0.31496062000000002" footer="0.31496062000000002"/>
  <ignoredErrors>
    <ignoredError sqref="F32 F34 F38 F40 F43 F47 C47:D47 C43:D43 C40:D40 C38:D38 C34:D34 C32:D32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98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18.88671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237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Patrimônio</v>
      </c>
      <c r="B5" s="39" t="s">
        <v>238</v>
      </c>
      <c r="C5" s="40">
        <v>19822689.219888039</v>
      </c>
      <c r="D5" s="41">
        <v>18448600.091825727</v>
      </c>
      <c r="E5" s="129">
        <f>IFERROR(C5/D5-1,0)</f>
        <v>7.4482026886752761E-2</v>
      </c>
      <c r="F5" s="42">
        <v>18665130.009999976</v>
      </c>
      <c r="G5" s="133">
        <f>IFERROR(C5/F5-1,0)</f>
        <v>6.2017205841475187E-2</v>
      </c>
      <c r="H5" s="147">
        <v>17255087.239999939</v>
      </c>
      <c r="I5" s="147">
        <v>16849961.809999987</v>
      </c>
    </row>
    <row r="6" spans="1:9" x14ac:dyDescent="0.3">
      <c r="B6" s="46" t="s">
        <v>51</v>
      </c>
      <c r="C6" s="51">
        <f>SUM(C5)</f>
        <v>19822689.219888039</v>
      </c>
      <c r="D6" s="49">
        <f>SUM(D5)</f>
        <v>18448600.091825727</v>
      </c>
      <c r="E6" s="121">
        <f t="shared" ref="E6:E22" si="0">IFERROR(C6/D6-1,0)</f>
        <v>7.4482026886752761E-2</v>
      </c>
      <c r="F6" s="49">
        <f>SUM(F5)</f>
        <v>18665130.009999976</v>
      </c>
      <c r="G6" s="122">
        <f t="shared" ref="G6:G21" si="1">IFERROR(C6/F6-1,0)</f>
        <v>6.2017205841475187E-2</v>
      </c>
      <c r="H6" s="150">
        <f t="shared" ref="H6:I6" si="2">SUM(H5)</f>
        <v>17255087.239999939</v>
      </c>
      <c r="I6" s="142">
        <f t="shared" si="2"/>
        <v>16849961.809999987</v>
      </c>
    </row>
    <row r="7" spans="1:9" x14ac:dyDescent="0.3">
      <c r="B7" s="38"/>
      <c r="C7" s="50"/>
      <c r="D7" s="50"/>
    </row>
    <row r="8" spans="1:9" x14ac:dyDescent="0.3">
      <c r="B8" s="202" t="s">
        <v>52</v>
      </c>
      <c r="C8" s="8"/>
      <c r="D8" s="8"/>
      <c r="E8" s="36"/>
      <c r="F8" s="36"/>
      <c r="G8" s="36"/>
      <c r="H8" s="8"/>
      <c r="I8" s="8"/>
    </row>
    <row r="9" spans="1:9" ht="43.2" x14ac:dyDescent="0.3">
      <c r="B9" s="203"/>
      <c r="C9" s="10" t="str">
        <f>'23-Despesas '!C$4</f>
        <v>Orçamento 2026</v>
      </c>
      <c r="D9" s="10" t="str">
        <f>'23-Despesas '!D$4</f>
        <v>Projeção 2025</v>
      </c>
      <c r="E9" s="11" t="s">
        <v>6</v>
      </c>
      <c r="F9" s="37" t="str">
        <f>'23-Despesas '!F$4</f>
        <v>Orçamento 2025</v>
      </c>
      <c r="G9" s="12" t="s">
        <v>8</v>
      </c>
      <c r="H9" s="10" t="s">
        <v>382</v>
      </c>
      <c r="I9" s="10" t="s">
        <v>197</v>
      </c>
    </row>
    <row r="10" spans="1:9" x14ac:dyDescent="0.3">
      <c r="A10" s="78" t="s">
        <v>386</v>
      </c>
      <c r="B10" s="19" t="s">
        <v>239</v>
      </c>
      <c r="C10" s="20">
        <f>SUM(C11:C67)</f>
        <v>16863498.750104211</v>
      </c>
      <c r="D10" s="43">
        <f>SUM(D11:D67)</f>
        <v>16140092.309150578</v>
      </c>
      <c r="E10" s="16">
        <f t="shared" si="0"/>
        <v>4.4820464907967095E-2</v>
      </c>
      <c r="F10" s="44">
        <f>SUM(F11:F67)</f>
        <v>16231660.679999996</v>
      </c>
      <c r="G10" s="22">
        <f>IFERROR(C10/F10-1,0)</f>
        <v>3.8926273938361788E-2</v>
      </c>
      <c r="H10" s="118">
        <f t="shared" ref="H10:I10" si="3">SUM(H11:H67)</f>
        <v>15097808.810000006</v>
      </c>
      <c r="I10" s="118">
        <f t="shared" si="3"/>
        <v>15493280.099999996</v>
      </c>
    </row>
    <row r="11" spans="1:9" hidden="1" x14ac:dyDescent="0.3">
      <c r="A11" s="78" t="s">
        <v>240</v>
      </c>
      <c r="B11" s="19"/>
      <c r="C11" s="20">
        <v>3712041.0985308979</v>
      </c>
      <c r="D11" s="43">
        <v>3447417.2823388013</v>
      </c>
      <c r="E11" s="16">
        <f t="shared" si="0"/>
        <v>7.6760019028671245E-2</v>
      </c>
      <c r="F11" s="44">
        <v>3653500.7699999949</v>
      </c>
      <c r="G11" s="22">
        <f>IFERROR(C11/F11-1,0)</f>
        <v>1.6023078197107576E-2</v>
      </c>
      <c r="H11" s="118">
        <v>3156483.6300000013</v>
      </c>
      <c r="I11" s="118">
        <v>2896231.82</v>
      </c>
    </row>
    <row r="12" spans="1:9" hidden="1" x14ac:dyDescent="0.3">
      <c r="A12" s="78" t="s">
        <v>241</v>
      </c>
      <c r="B12" s="19"/>
      <c r="C12" s="20">
        <v>2586137.0756441592</v>
      </c>
      <c r="D12" s="43">
        <v>2734814.5943163843</v>
      </c>
      <c r="E12" s="16">
        <f t="shared" si="0"/>
        <v>-5.4364752543449746E-2</v>
      </c>
      <c r="F12" s="44">
        <v>2582859.2200000002</v>
      </c>
      <c r="G12" s="22">
        <f>IFERROR(C12/F12-1,0)</f>
        <v>1.2690802575601179E-3</v>
      </c>
      <c r="H12" s="118">
        <v>2627592.4100000015</v>
      </c>
      <c r="I12" s="118">
        <v>0</v>
      </c>
    </row>
    <row r="13" spans="1:9" hidden="1" x14ac:dyDescent="0.3">
      <c r="A13" s="78" t="s">
        <v>242</v>
      </c>
      <c r="B13" s="19"/>
      <c r="C13" s="20">
        <v>0</v>
      </c>
      <c r="D13" s="43">
        <v>46080.95</v>
      </c>
      <c r="E13" s="16">
        <f t="shared" si="0"/>
        <v>-1</v>
      </c>
      <c r="F13" s="44">
        <v>0</v>
      </c>
      <c r="G13" s="24">
        <f t="shared" si="1"/>
        <v>0</v>
      </c>
      <c r="H13" s="118">
        <v>11573.88</v>
      </c>
      <c r="I13" s="118">
        <v>0</v>
      </c>
    </row>
    <row r="14" spans="1:9" hidden="1" x14ac:dyDescent="0.3">
      <c r="A14" s="78" t="s">
        <v>243</v>
      </c>
      <c r="B14" s="19"/>
      <c r="C14" s="20">
        <v>0</v>
      </c>
      <c r="D14" s="43">
        <v>3886.8399999999997</v>
      </c>
      <c r="E14" s="16">
        <f t="shared" si="0"/>
        <v>-1</v>
      </c>
      <c r="F14" s="44">
        <v>0</v>
      </c>
      <c r="G14" s="24">
        <f t="shared" si="1"/>
        <v>0</v>
      </c>
      <c r="H14" s="118">
        <v>0</v>
      </c>
      <c r="I14" s="118">
        <v>0</v>
      </c>
    </row>
    <row r="15" spans="1:9" hidden="1" x14ac:dyDescent="0.3">
      <c r="A15" s="78" t="s">
        <v>244</v>
      </c>
      <c r="B15" s="19"/>
      <c r="C15" s="20">
        <v>35959.140000000007</v>
      </c>
      <c r="D15" s="43">
        <v>38287.457402809399</v>
      </c>
      <c r="E15" s="16">
        <f t="shared" si="0"/>
        <v>-6.0811491823913877E-2</v>
      </c>
      <c r="F15" s="44">
        <v>37905</v>
      </c>
      <c r="G15" s="22">
        <f t="shared" si="1"/>
        <v>-5.1335180055401497E-2</v>
      </c>
      <c r="H15" s="118">
        <v>34332.53</v>
      </c>
      <c r="I15" s="118">
        <v>0</v>
      </c>
    </row>
    <row r="16" spans="1:9" hidden="1" x14ac:dyDescent="0.3">
      <c r="A16" s="78" t="s">
        <v>245</v>
      </c>
      <c r="B16" s="19"/>
      <c r="C16" s="20">
        <v>0</v>
      </c>
      <c r="D16" s="43">
        <v>2859.61</v>
      </c>
      <c r="E16" s="16">
        <f t="shared" si="0"/>
        <v>-1</v>
      </c>
      <c r="F16" s="44">
        <v>0</v>
      </c>
      <c r="G16" s="24">
        <f t="shared" si="1"/>
        <v>0</v>
      </c>
      <c r="H16" s="118">
        <v>0</v>
      </c>
      <c r="I16" s="118">
        <v>0</v>
      </c>
    </row>
    <row r="17" spans="1:9" hidden="1" x14ac:dyDescent="0.3">
      <c r="A17" s="78" t="s">
        <v>246</v>
      </c>
      <c r="B17" s="19"/>
      <c r="C17" s="20">
        <v>0</v>
      </c>
      <c r="D17" s="43">
        <v>10382.220000000001</v>
      </c>
      <c r="E17" s="16">
        <f t="shared" si="0"/>
        <v>-1</v>
      </c>
      <c r="F17" s="44">
        <v>0</v>
      </c>
      <c r="G17" s="22">
        <f t="shared" si="1"/>
        <v>0</v>
      </c>
      <c r="H17" s="118">
        <v>29325.200000000001</v>
      </c>
      <c r="I17" s="118">
        <v>0</v>
      </c>
    </row>
    <row r="18" spans="1:9" hidden="1" x14ac:dyDescent="0.3">
      <c r="A18" s="78" t="s">
        <v>247</v>
      </c>
      <c r="B18" s="19"/>
      <c r="C18" s="20">
        <v>0</v>
      </c>
      <c r="D18" s="43">
        <v>1869.84</v>
      </c>
      <c r="E18" s="16">
        <f t="shared" si="0"/>
        <v>-1</v>
      </c>
      <c r="F18" s="44">
        <v>0</v>
      </c>
      <c r="G18" s="24">
        <f t="shared" si="1"/>
        <v>0</v>
      </c>
      <c r="H18" s="118">
        <v>431.74</v>
      </c>
      <c r="I18" s="118">
        <v>0</v>
      </c>
    </row>
    <row r="19" spans="1:9" hidden="1" x14ac:dyDescent="0.3">
      <c r="A19" s="78" t="s">
        <v>248</v>
      </c>
      <c r="B19" s="19"/>
      <c r="C19" s="20">
        <v>0</v>
      </c>
      <c r="D19" s="43">
        <v>55684.430000000008</v>
      </c>
      <c r="E19" s="16">
        <f t="shared" si="0"/>
        <v>-1</v>
      </c>
      <c r="F19" s="44">
        <v>0</v>
      </c>
      <c r="G19" s="24">
        <f t="shared" si="1"/>
        <v>0</v>
      </c>
      <c r="H19" s="118">
        <v>82328.479999999996</v>
      </c>
      <c r="I19" s="118">
        <v>0</v>
      </c>
    </row>
    <row r="20" spans="1:9" hidden="1" x14ac:dyDescent="0.3">
      <c r="A20" s="78" t="s">
        <v>249</v>
      </c>
      <c r="B20" s="19"/>
      <c r="C20" s="20">
        <v>5655.920000000001</v>
      </c>
      <c r="D20" s="43">
        <v>5233.6873519882665</v>
      </c>
      <c r="E20" s="16">
        <f t="shared" si="0"/>
        <v>8.067594023386393E-2</v>
      </c>
      <c r="F20" s="44">
        <v>5350.9199999999992</v>
      </c>
      <c r="G20" s="22">
        <f t="shared" si="1"/>
        <v>5.6999544003648372E-2</v>
      </c>
      <c r="H20" s="118">
        <v>5873.42</v>
      </c>
      <c r="I20" s="118">
        <v>0</v>
      </c>
    </row>
    <row r="21" spans="1:9" hidden="1" x14ac:dyDescent="0.3">
      <c r="A21" s="78" t="s">
        <v>250</v>
      </c>
      <c r="B21" s="19"/>
      <c r="C21" s="20">
        <v>102371.67653027287</v>
      </c>
      <c r="D21" s="43">
        <v>53142.480000000025</v>
      </c>
      <c r="E21" s="16">
        <f t="shared" si="0"/>
        <v>0.92636242287286596</v>
      </c>
      <c r="F21" s="44">
        <v>0</v>
      </c>
      <c r="G21" s="22">
        <f t="shared" si="1"/>
        <v>0</v>
      </c>
      <c r="H21" s="118">
        <v>1468.0400000000002</v>
      </c>
      <c r="I21" s="118">
        <v>0</v>
      </c>
    </row>
    <row r="22" spans="1:9" hidden="1" x14ac:dyDescent="0.3">
      <c r="A22" s="78" t="s">
        <v>239</v>
      </c>
      <c r="B22" s="19"/>
      <c r="C22" s="20">
        <v>3781000.0900000026</v>
      </c>
      <c r="D22" s="43">
        <v>1789572.8584285935</v>
      </c>
      <c r="E22" s="16">
        <f t="shared" si="0"/>
        <v>1.1127947220433718</v>
      </c>
      <c r="F22" s="44">
        <v>3127844.0899999989</v>
      </c>
      <c r="G22" s="22">
        <f>IFERROR(C22/F22-1,0)</f>
        <v>0.20881987119760947</v>
      </c>
      <c r="H22" s="118">
        <v>1492418.68</v>
      </c>
      <c r="I22" s="118">
        <v>12597048.279999996</v>
      </c>
    </row>
    <row r="23" spans="1:9" hidden="1" x14ac:dyDescent="0.3">
      <c r="A23" s="78" t="s">
        <v>251</v>
      </c>
      <c r="B23" s="19"/>
      <c r="C23" s="20">
        <v>307111.34999999992</v>
      </c>
      <c r="D23" s="43">
        <v>307767.3078770999</v>
      </c>
      <c r="E23" s="44"/>
      <c r="F23" s="44">
        <v>269439.23999999993</v>
      </c>
      <c r="G23" s="30">
        <f>IFERROR(C23/F23-1,0)</f>
        <v>0.13981671711959986</v>
      </c>
      <c r="H23" s="118">
        <v>284549.58</v>
      </c>
      <c r="I23" s="118">
        <v>0</v>
      </c>
    </row>
    <row r="24" spans="1:9" hidden="1" x14ac:dyDescent="0.3">
      <c r="A24" s="78" t="s">
        <v>252</v>
      </c>
      <c r="B24" s="19"/>
      <c r="C24" s="20">
        <v>26895.409999999989</v>
      </c>
      <c r="D24" s="43">
        <v>49440.70612164554</v>
      </c>
      <c r="E24" s="44"/>
      <c r="F24" s="44">
        <v>26185.379999999997</v>
      </c>
      <c r="G24" s="44"/>
      <c r="H24" s="118">
        <v>73221.61</v>
      </c>
      <c r="I24" s="118">
        <v>0</v>
      </c>
    </row>
    <row r="25" spans="1:9" hidden="1" x14ac:dyDescent="0.3">
      <c r="A25" s="78" t="s">
        <v>253</v>
      </c>
      <c r="B25" s="19"/>
      <c r="C25" s="20">
        <v>14534.719999999994</v>
      </c>
      <c r="D25" s="43">
        <v>19086.169285799791</v>
      </c>
      <c r="E25" s="44"/>
      <c r="F25" s="44">
        <v>13721.400000000003</v>
      </c>
      <c r="G25" s="44"/>
      <c r="H25" s="118">
        <v>24598.259999999995</v>
      </c>
      <c r="I25" s="118">
        <v>0</v>
      </c>
    </row>
    <row r="26" spans="1:9" hidden="1" x14ac:dyDescent="0.3">
      <c r="A26" s="78" t="s">
        <v>254</v>
      </c>
      <c r="B26" s="19"/>
      <c r="C26" s="20">
        <v>0</v>
      </c>
      <c r="D26" s="43">
        <v>2288.5299999999997</v>
      </c>
      <c r="E26" s="44"/>
      <c r="F26" s="44">
        <v>0</v>
      </c>
      <c r="G26" s="44"/>
      <c r="H26" s="118">
        <v>1010.48</v>
      </c>
      <c r="I26" s="118">
        <v>0</v>
      </c>
    </row>
    <row r="27" spans="1:9" hidden="1" x14ac:dyDescent="0.3">
      <c r="A27" s="78" t="s">
        <v>255</v>
      </c>
      <c r="B27" s="19"/>
      <c r="C27" s="20">
        <v>0</v>
      </c>
      <c r="D27" s="43">
        <v>17026.63</v>
      </c>
      <c r="E27" s="44"/>
      <c r="F27" s="44">
        <v>3885</v>
      </c>
      <c r="G27" s="44"/>
      <c r="H27" s="118">
        <v>2194.34</v>
      </c>
      <c r="I27" s="118">
        <v>0</v>
      </c>
    </row>
    <row r="28" spans="1:9" hidden="1" x14ac:dyDescent="0.3">
      <c r="A28" s="78" t="s">
        <v>256</v>
      </c>
      <c r="B28" s="19"/>
      <c r="C28" s="20">
        <v>53000</v>
      </c>
      <c r="D28" s="43">
        <v>99849.568493154831</v>
      </c>
      <c r="E28" s="44"/>
      <c r="F28" s="44">
        <v>120000</v>
      </c>
      <c r="G28" s="44"/>
      <c r="H28" s="118">
        <v>14820.74</v>
      </c>
      <c r="I28" s="118">
        <v>0</v>
      </c>
    </row>
    <row r="29" spans="1:9" hidden="1" x14ac:dyDescent="0.3">
      <c r="A29" s="78" t="s">
        <v>257</v>
      </c>
      <c r="B29" s="19"/>
      <c r="C29" s="20">
        <v>162355.20000000004</v>
      </c>
      <c r="D29" s="43">
        <v>46500.134676031317</v>
      </c>
      <c r="E29" s="44"/>
      <c r="F29" s="44">
        <v>113505</v>
      </c>
      <c r="G29" s="44"/>
      <c r="H29" s="118">
        <v>106176.09</v>
      </c>
      <c r="I29" s="118">
        <v>0</v>
      </c>
    </row>
    <row r="30" spans="1:9" hidden="1" x14ac:dyDescent="0.3">
      <c r="A30" s="78" t="s">
        <v>258</v>
      </c>
      <c r="B30" s="19"/>
      <c r="C30" s="20">
        <v>26636.400000000005</v>
      </c>
      <c r="D30" s="43">
        <v>40851.405483562514</v>
      </c>
      <c r="E30" s="44"/>
      <c r="F30" s="44">
        <v>25200</v>
      </c>
      <c r="G30" s="44"/>
      <c r="H30" s="118">
        <v>32661.1</v>
      </c>
      <c r="I30" s="118">
        <v>0</v>
      </c>
    </row>
    <row r="31" spans="1:9" hidden="1" x14ac:dyDescent="0.3">
      <c r="A31" s="78" t="s">
        <v>259</v>
      </c>
      <c r="B31" s="19"/>
      <c r="C31" s="20">
        <v>23060.400000000005</v>
      </c>
      <c r="D31" s="43">
        <v>85152.843024358372</v>
      </c>
      <c r="E31" s="44"/>
      <c r="F31" s="44">
        <v>16402.079999999998</v>
      </c>
      <c r="G31" s="44"/>
      <c r="H31" s="118">
        <v>118745.48000000001</v>
      </c>
      <c r="I31" s="118">
        <v>0</v>
      </c>
    </row>
    <row r="32" spans="1:9" hidden="1" x14ac:dyDescent="0.3">
      <c r="A32" s="78" t="s">
        <v>260</v>
      </c>
      <c r="B32" s="19"/>
      <c r="C32" s="20">
        <v>55651.05000000001</v>
      </c>
      <c r="D32" s="43">
        <v>106723.33230148321</v>
      </c>
      <c r="E32" s="44"/>
      <c r="F32" s="44">
        <v>58864.9</v>
      </c>
      <c r="G32" s="44"/>
      <c r="H32" s="118">
        <v>98326.489999999991</v>
      </c>
      <c r="I32" s="118">
        <v>0</v>
      </c>
    </row>
    <row r="33" spans="1:9" hidden="1" x14ac:dyDescent="0.3">
      <c r="A33" s="78" t="s">
        <v>261</v>
      </c>
      <c r="B33" s="19"/>
      <c r="C33" s="20">
        <v>62595.539999999986</v>
      </c>
      <c r="D33" s="43">
        <v>303285.77288637188</v>
      </c>
      <c r="E33" s="44"/>
      <c r="F33" s="44">
        <v>65133.599999999999</v>
      </c>
      <c r="G33" s="44"/>
      <c r="H33" s="118">
        <v>432422.01999999996</v>
      </c>
      <c r="I33" s="118">
        <v>0</v>
      </c>
    </row>
    <row r="34" spans="1:9" hidden="1" x14ac:dyDescent="0.3">
      <c r="A34" s="78" t="s">
        <v>262</v>
      </c>
      <c r="B34" s="19"/>
      <c r="C34" s="20">
        <v>133155.24000000002</v>
      </c>
      <c r="D34" s="43">
        <v>190734.12379795933</v>
      </c>
      <c r="E34" s="44"/>
      <c r="F34" s="44">
        <v>143056.38</v>
      </c>
      <c r="G34" s="44"/>
      <c r="H34" s="118">
        <v>163429.04</v>
      </c>
      <c r="I34" s="118">
        <v>0</v>
      </c>
    </row>
    <row r="35" spans="1:9" hidden="1" x14ac:dyDescent="0.3">
      <c r="A35" s="78" t="s">
        <v>263</v>
      </c>
      <c r="B35" s="19"/>
      <c r="C35" s="20">
        <v>0</v>
      </c>
      <c r="D35" s="43">
        <v>11083.300000000001</v>
      </c>
      <c r="E35" s="44"/>
      <c r="F35" s="44">
        <v>0</v>
      </c>
      <c r="G35" s="44"/>
      <c r="H35" s="118">
        <v>38564.26</v>
      </c>
      <c r="I35" s="118">
        <v>0</v>
      </c>
    </row>
    <row r="36" spans="1:9" hidden="1" x14ac:dyDescent="0.3">
      <c r="A36" s="78" t="s">
        <v>264</v>
      </c>
      <c r="B36" s="19"/>
      <c r="C36" s="20">
        <v>0</v>
      </c>
      <c r="D36" s="43">
        <v>10277.030000000001</v>
      </c>
      <c r="E36" s="44"/>
      <c r="F36" s="44">
        <v>0</v>
      </c>
      <c r="G36" s="44"/>
      <c r="H36" s="118">
        <v>5591.83</v>
      </c>
      <c r="I36" s="118">
        <v>0</v>
      </c>
    </row>
    <row r="37" spans="1:9" hidden="1" x14ac:dyDescent="0.3">
      <c r="A37" s="85" t="s">
        <v>385</v>
      </c>
      <c r="B37" s="19"/>
      <c r="C37" s="20">
        <v>0</v>
      </c>
      <c r="D37" s="43">
        <v>0</v>
      </c>
      <c r="E37" s="44"/>
      <c r="F37" s="44">
        <v>0</v>
      </c>
      <c r="G37" s="44"/>
      <c r="H37" s="118">
        <v>1902.48</v>
      </c>
      <c r="I37" s="118">
        <v>0</v>
      </c>
    </row>
    <row r="38" spans="1:9" hidden="1" x14ac:dyDescent="0.3">
      <c r="A38" s="85" t="s">
        <v>387</v>
      </c>
      <c r="B38" s="19"/>
      <c r="C38" s="20">
        <v>0</v>
      </c>
      <c r="D38" s="43">
        <v>0</v>
      </c>
      <c r="E38" s="44"/>
      <c r="F38" s="44">
        <v>0</v>
      </c>
      <c r="G38" s="44"/>
      <c r="H38" s="118">
        <v>1633.32</v>
      </c>
      <c r="I38" s="118">
        <v>0</v>
      </c>
    </row>
    <row r="39" spans="1:9" hidden="1" x14ac:dyDescent="0.3">
      <c r="A39" s="85" t="s">
        <v>388</v>
      </c>
      <c r="B39" s="19"/>
      <c r="C39" s="20">
        <v>0</v>
      </c>
      <c r="D39" s="43">
        <v>0</v>
      </c>
      <c r="E39" s="44"/>
      <c r="F39" s="44">
        <v>0</v>
      </c>
      <c r="G39" s="44"/>
      <c r="H39" s="118">
        <v>960</v>
      </c>
      <c r="I39" s="118">
        <v>0</v>
      </c>
    </row>
    <row r="40" spans="1:9" hidden="1" x14ac:dyDescent="0.3">
      <c r="A40" s="85" t="s">
        <v>389</v>
      </c>
      <c r="B40" s="19"/>
      <c r="C40" s="20">
        <v>0</v>
      </c>
      <c r="D40" s="43">
        <v>0</v>
      </c>
      <c r="E40" s="44"/>
      <c r="F40" s="44">
        <v>0</v>
      </c>
      <c r="G40" s="44"/>
      <c r="H40" s="118">
        <v>389.9</v>
      </c>
      <c r="I40" s="118">
        <v>0</v>
      </c>
    </row>
    <row r="41" spans="1:9" hidden="1" x14ac:dyDescent="0.3">
      <c r="A41" s="85" t="s">
        <v>390</v>
      </c>
      <c r="B41" s="19"/>
      <c r="C41" s="20">
        <v>0</v>
      </c>
      <c r="D41" s="43">
        <v>0</v>
      </c>
      <c r="E41" s="44"/>
      <c r="F41" s="44">
        <v>0</v>
      </c>
      <c r="G41" s="44"/>
      <c r="H41" s="118">
        <v>29865.11</v>
      </c>
      <c r="I41" s="118">
        <v>0</v>
      </c>
    </row>
    <row r="42" spans="1:9" hidden="1" x14ac:dyDescent="0.3">
      <c r="A42" s="85" t="s">
        <v>391</v>
      </c>
      <c r="B42" s="19"/>
      <c r="C42" s="20">
        <v>0</v>
      </c>
      <c r="D42" s="43">
        <v>0</v>
      </c>
      <c r="E42" s="44"/>
      <c r="F42" s="44">
        <v>0</v>
      </c>
      <c r="G42" s="44"/>
      <c r="H42" s="118">
        <v>1263.0800000000002</v>
      </c>
      <c r="I42" s="118">
        <v>0</v>
      </c>
    </row>
    <row r="43" spans="1:9" hidden="1" x14ac:dyDescent="0.3">
      <c r="A43" s="78" t="s">
        <v>265</v>
      </c>
      <c r="B43" s="19"/>
      <c r="C43" s="20">
        <v>0</v>
      </c>
      <c r="D43" s="43">
        <v>780</v>
      </c>
      <c r="E43" s="44"/>
      <c r="F43" s="44">
        <v>0</v>
      </c>
      <c r="G43" s="44"/>
      <c r="H43" s="118">
        <v>0</v>
      </c>
      <c r="I43" s="118">
        <v>0</v>
      </c>
    </row>
    <row r="44" spans="1:9" hidden="1" x14ac:dyDescent="0.3">
      <c r="A44" s="78" t="s">
        <v>266</v>
      </c>
      <c r="B44" s="19"/>
      <c r="C44" s="20">
        <v>0</v>
      </c>
      <c r="D44" s="43">
        <v>4103.9399999999996</v>
      </c>
      <c r="E44" s="44"/>
      <c r="F44" s="44">
        <v>0</v>
      </c>
      <c r="G44" s="44"/>
      <c r="H44" s="118">
        <v>0</v>
      </c>
      <c r="I44" s="118">
        <v>0</v>
      </c>
    </row>
    <row r="45" spans="1:9" hidden="1" x14ac:dyDescent="0.3">
      <c r="A45" s="78" t="s">
        <v>267</v>
      </c>
      <c r="B45" s="19"/>
      <c r="C45" s="20">
        <v>0</v>
      </c>
      <c r="D45" s="43">
        <v>39077.850000000006</v>
      </c>
      <c r="E45" s="44"/>
      <c r="F45" s="44">
        <v>0</v>
      </c>
      <c r="G45" s="44"/>
      <c r="H45" s="118">
        <v>27042.949999999997</v>
      </c>
      <c r="I45" s="118">
        <v>0</v>
      </c>
    </row>
    <row r="46" spans="1:9" hidden="1" x14ac:dyDescent="0.3">
      <c r="A46" s="78" t="s">
        <v>268</v>
      </c>
      <c r="B46" s="19"/>
      <c r="C46" s="20">
        <v>0</v>
      </c>
      <c r="D46" s="43">
        <v>4802.9399999999996</v>
      </c>
      <c r="E46" s="44"/>
      <c r="F46" s="44">
        <v>3885</v>
      </c>
      <c r="G46" s="44"/>
      <c r="H46" s="118">
        <v>10881.88</v>
      </c>
      <c r="I46" s="118">
        <v>0</v>
      </c>
    </row>
    <row r="47" spans="1:9" hidden="1" x14ac:dyDescent="0.3">
      <c r="A47" s="78" t="s">
        <v>269</v>
      </c>
      <c r="B47" s="19"/>
      <c r="C47" s="20">
        <v>4439.3999999999987</v>
      </c>
      <c r="D47" s="43">
        <v>24461.230966905761</v>
      </c>
      <c r="E47" s="44"/>
      <c r="F47" s="44">
        <v>4185.24</v>
      </c>
      <c r="G47" s="44"/>
      <c r="H47" s="118">
        <v>32667.64</v>
      </c>
      <c r="I47" s="118">
        <v>0</v>
      </c>
    </row>
    <row r="48" spans="1:9" hidden="1" x14ac:dyDescent="0.3">
      <c r="A48" s="78" t="s">
        <v>270</v>
      </c>
      <c r="B48" s="19"/>
      <c r="C48" s="20">
        <v>0</v>
      </c>
      <c r="D48" s="43">
        <v>480</v>
      </c>
      <c r="E48" s="44"/>
      <c r="F48" s="44">
        <v>0</v>
      </c>
      <c r="G48" s="44"/>
      <c r="H48" s="118">
        <v>3728</v>
      </c>
      <c r="I48" s="118">
        <v>0</v>
      </c>
    </row>
    <row r="49" spans="1:9" hidden="1" x14ac:dyDescent="0.3">
      <c r="A49" s="78" t="s">
        <v>271</v>
      </c>
      <c r="B49" s="19"/>
      <c r="C49" s="20">
        <v>0</v>
      </c>
      <c r="D49" s="43">
        <v>8442.3700000000008</v>
      </c>
      <c r="E49" s="44"/>
      <c r="F49" s="44">
        <v>0</v>
      </c>
      <c r="G49" s="44"/>
      <c r="H49" s="118">
        <v>27149.72</v>
      </c>
      <c r="I49" s="118">
        <v>0</v>
      </c>
    </row>
    <row r="50" spans="1:9" hidden="1" x14ac:dyDescent="0.3">
      <c r="A50" s="78" t="s">
        <v>272</v>
      </c>
      <c r="B50" s="19"/>
      <c r="C50" s="20">
        <v>0</v>
      </c>
      <c r="D50" s="43">
        <v>3930</v>
      </c>
      <c r="E50" s="44"/>
      <c r="F50" s="44">
        <v>0</v>
      </c>
      <c r="G50" s="44"/>
      <c r="H50" s="118">
        <v>2197.67</v>
      </c>
      <c r="I50" s="118">
        <v>0</v>
      </c>
    </row>
    <row r="51" spans="1:9" hidden="1" x14ac:dyDescent="0.3">
      <c r="A51" s="78" t="s">
        <v>273</v>
      </c>
      <c r="B51" s="19"/>
      <c r="C51" s="20">
        <v>0</v>
      </c>
      <c r="D51" s="43">
        <v>2151.23</v>
      </c>
      <c r="E51" s="44"/>
      <c r="F51" s="44">
        <v>0</v>
      </c>
      <c r="G51" s="44"/>
      <c r="H51" s="118">
        <v>2653.73</v>
      </c>
      <c r="I51" s="118">
        <v>0</v>
      </c>
    </row>
    <row r="52" spans="1:9" hidden="1" x14ac:dyDescent="0.3">
      <c r="A52" s="78" t="s">
        <v>274</v>
      </c>
      <c r="B52" s="19"/>
      <c r="C52" s="20">
        <v>0</v>
      </c>
      <c r="D52" s="43">
        <v>3001.37</v>
      </c>
      <c r="E52" s="44"/>
      <c r="F52" s="44">
        <v>0</v>
      </c>
      <c r="G52" s="44"/>
      <c r="H52" s="118">
        <v>185.63</v>
      </c>
      <c r="I52" s="118">
        <v>0</v>
      </c>
    </row>
    <row r="53" spans="1:9" hidden="1" x14ac:dyDescent="0.3">
      <c r="A53" s="78" t="s">
        <v>275</v>
      </c>
      <c r="B53" s="19"/>
      <c r="C53" s="20">
        <v>34246.80000000001</v>
      </c>
      <c r="D53" s="43">
        <v>23690.108225343778</v>
      </c>
      <c r="E53" s="44"/>
      <c r="F53" s="44">
        <v>37800</v>
      </c>
      <c r="G53" s="44"/>
      <c r="H53" s="118">
        <v>5325.63</v>
      </c>
      <c r="I53" s="118">
        <v>0</v>
      </c>
    </row>
    <row r="54" spans="1:9" hidden="1" x14ac:dyDescent="0.3">
      <c r="A54" s="78" t="s">
        <v>276</v>
      </c>
      <c r="B54" s="19"/>
      <c r="C54" s="20">
        <v>0</v>
      </c>
      <c r="D54" s="43">
        <v>1696.0900000000001</v>
      </c>
      <c r="E54" s="44"/>
      <c r="F54" s="44">
        <v>0</v>
      </c>
      <c r="G54" s="44"/>
      <c r="H54" s="118">
        <v>0</v>
      </c>
      <c r="I54" s="118">
        <v>0</v>
      </c>
    </row>
    <row r="55" spans="1:9" hidden="1" x14ac:dyDescent="0.3">
      <c r="A55" s="78" t="s">
        <v>277</v>
      </c>
      <c r="B55" s="19"/>
      <c r="C55" s="20">
        <v>4439.3999999999987</v>
      </c>
      <c r="D55" s="43">
        <v>25577.960966905765</v>
      </c>
      <c r="E55" s="44"/>
      <c r="F55" s="44">
        <v>4185.24</v>
      </c>
      <c r="G55" s="44"/>
      <c r="H55" s="118">
        <v>32356.1</v>
      </c>
      <c r="I55" s="118">
        <v>0</v>
      </c>
    </row>
    <row r="56" spans="1:9" hidden="1" x14ac:dyDescent="0.3">
      <c r="A56" s="78" t="s">
        <v>278</v>
      </c>
      <c r="B56" s="19"/>
      <c r="C56" s="20">
        <v>0</v>
      </c>
      <c r="D56" s="43">
        <v>788</v>
      </c>
      <c r="E56" s="44"/>
      <c r="F56" s="44">
        <v>0</v>
      </c>
      <c r="G56" s="44"/>
      <c r="H56" s="118">
        <v>1048.78</v>
      </c>
      <c r="I56" s="118">
        <v>0</v>
      </c>
    </row>
    <row r="57" spans="1:9" hidden="1" x14ac:dyDescent="0.3">
      <c r="A57" s="78" t="s">
        <v>279</v>
      </c>
      <c r="B57" s="19"/>
      <c r="C57" s="20">
        <v>0</v>
      </c>
      <c r="D57" s="43">
        <v>8871.3700000000008</v>
      </c>
      <c r="E57" s="44"/>
      <c r="F57" s="44">
        <v>0</v>
      </c>
      <c r="G57" s="44"/>
      <c r="H57" s="118">
        <v>13463.08</v>
      </c>
      <c r="I57" s="118">
        <v>0</v>
      </c>
    </row>
    <row r="58" spans="1:9" hidden="1" x14ac:dyDescent="0.3">
      <c r="A58" s="78" t="s">
        <v>280</v>
      </c>
      <c r="B58" s="19"/>
      <c r="C58" s="20">
        <v>17352.599999999995</v>
      </c>
      <c r="D58" s="43">
        <v>49607.643024358375</v>
      </c>
      <c r="E58" s="44"/>
      <c r="F58" s="44">
        <v>16402.079999999998</v>
      </c>
      <c r="G58" s="44"/>
      <c r="H58" s="118">
        <v>59047.359999999993</v>
      </c>
      <c r="I58" s="118">
        <v>0</v>
      </c>
    </row>
    <row r="59" spans="1:9" hidden="1" x14ac:dyDescent="0.3">
      <c r="A59" s="78" t="s">
        <v>281</v>
      </c>
      <c r="B59" s="19"/>
      <c r="C59" s="20">
        <v>0</v>
      </c>
      <c r="D59" s="43">
        <v>52732.66</v>
      </c>
      <c r="E59" s="44"/>
      <c r="F59" s="44">
        <v>0</v>
      </c>
      <c r="G59" s="44"/>
      <c r="H59" s="118">
        <v>21045.88</v>
      </c>
      <c r="I59" s="118">
        <v>0</v>
      </c>
    </row>
    <row r="60" spans="1:9" hidden="1" x14ac:dyDescent="0.3">
      <c r="A60" s="78" t="s">
        <v>282</v>
      </c>
      <c r="B60" s="19"/>
      <c r="C60" s="20">
        <v>83757.53</v>
      </c>
      <c r="D60" s="43">
        <v>153146.7762414664</v>
      </c>
      <c r="E60" s="44"/>
      <c r="F60" s="44">
        <v>77855.39999999998</v>
      </c>
      <c r="G60" s="44"/>
      <c r="H60" s="118">
        <v>128082.37000000001</v>
      </c>
      <c r="I60" s="118">
        <v>0</v>
      </c>
    </row>
    <row r="61" spans="1:9" hidden="1" x14ac:dyDescent="0.3">
      <c r="A61" s="78" t="s">
        <v>283</v>
      </c>
      <c r="B61" s="19"/>
      <c r="C61" s="20">
        <v>1280028.1668304249</v>
      </c>
      <c r="D61" s="43">
        <v>1343945.6485163183</v>
      </c>
      <c r="E61" s="44"/>
      <c r="F61" s="44">
        <v>1255543.8599999989</v>
      </c>
      <c r="G61" s="44"/>
      <c r="H61" s="118">
        <v>1333268.0999999992</v>
      </c>
      <c r="I61" s="118">
        <v>0</v>
      </c>
    </row>
    <row r="62" spans="1:9" hidden="1" x14ac:dyDescent="0.3">
      <c r="A62" s="78" t="s">
        <v>284</v>
      </c>
      <c r="B62" s="19"/>
      <c r="C62" s="20">
        <v>904498.26882397383</v>
      </c>
      <c r="D62" s="43">
        <v>1054459.8435143786</v>
      </c>
      <c r="E62" s="44"/>
      <c r="F62" s="44">
        <v>1078886.5300000005</v>
      </c>
      <c r="G62" s="44"/>
      <c r="H62" s="118">
        <v>1130853.1199999996</v>
      </c>
      <c r="I62" s="118">
        <v>0</v>
      </c>
    </row>
    <row r="63" spans="1:9" hidden="1" x14ac:dyDescent="0.3">
      <c r="A63" s="78" t="s">
        <v>285</v>
      </c>
      <c r="B63" s="19"/>
      <c r="C63" s="20">
        <v>700666.66422071005</v>
      </c>
      <c r="D63" s="43">
        <v>778691.2282970649</v>
      </c>
      <c r="E63" s="44"/>
      <c r="F63" s="44">
        <v>704724.6599999998</v>
      </c>
      <c r="G63" s="44"/>
      <c r="H63" s="118">
        <v>679211.54000000027</v>
      </c>
      <c r="I63" s="118">
        <v>0</v>
      </c>
    </row>
    <row r="64" spans="1:9" hidden="1" x14ac:dyDescent="0.3">
      <c r="A64" s="78" t="s">
        <v>286</v>
      </c>
      <c r="C64" s="20">
        <v>908953.86916719459</v>
      </c>
      <c r="D64" s="43">
        <v>984041.7096726473</v>
      </c>
      <c r="E64" s="44"/>
      <c r="F64" s="44">
        <v>884732.1599999991</v>
      </c>
      <c r="G64" s="44"/>
      <c r="H64" s="118">
        <v>846687.60000000009</v>
      </c>
      <c r="I64" s="118">
        <v>0</v>
      </c>
    </row>
    <row r="65" spans="1:9" hidden="1" x14ac:dyDescent="0.3">
      <c r="A65" s="78" t="s">
        <v>287</v>
      </c>
      <c r="C65" s="20">
        <v>555342.37282058957</v>
      </c>
      <c r="D65" s="43">
        <v>651278.24460561783</v>
      </c>
      <c r="E65" s="44"/>
      <c r="F65" s="44">
        <v>528541.5700000003</v>
      </c>
      <c r="G65" s="44"/>
      <c r="H65" s="118">
        <v>567994.24</v>
      </c>
      <c r="I65" s="118">
        <v>0</v>
      </c>
    </row>
    <row r="66" spans="1:9" hidden="1" x14ac:dyDescent="0.3">
      <c r="A66" s="78" t="s">
        <v>288</v>
      </c>
      <c r="C66" s="20">
        <v>1043642.3501697191</v>
      </c>
      <c r="D66" s="43">
        <v>1172473.5460969231</v>
      </c>
      <c r="E66" s="44"/>
      <c r="F66" s="44">
        <v>1104326.6200000003</v>
      </c>
      <c r="G66" s="44"/>
      <c r="H66" s="118">
        <v>1034665.3500000001</v>
      </c>
      <c r="I66" s="118">
        <v>0</v>
      </c>
    </row>
    <row r="67" spans="1:9" hidden="1" x14ac:dyDescent="0.3">
      <c r="A67" s="78" t="s">
        <v>289</v>
      </c>
      <c r="C67" s="20">
        <v>237971.01736626952</v>
      </c>
      <c r="D67" s="43">
        <v>268561.4452366117</v>
      </c>
      <c r="E67" s="44"/>
      <c r="F67" s="44">
        <v>267739.33999999968</v>
      </c>
      <c r="G67" s="44"/>
      <c r="H67" s="118">
        <v>264099.21999999991</v>
      </c>
      <c r="I67" s="118">
        <v>0</v>
      </c>
    </row>
    <row r="68" spans="1:9" x14ac:dyDescent="0.3">
      <c r="A68" s="102" t="s">
        <v>290</v>
      </c>
      <c r="B68" t="s">
        <v>291</v>
      </c>
      <c r="C68" s="20">
        <v>1515206.46872876</v>
      </c>
      <c r="D68" s="43">
        <v>1349247.670948623</v>
      </c>
      <c r="E68" s="16">
        <f t="shared" ref="E68:E72" si="4">IFERROR(C68/D68-1,0)</f>
        <v>0.12300098888698141</v>
      </c>
      <c r="F68" s="44">
        <v>1435025.4100000001</v>
      </c>
      <c r="G68" s="22">
        <f t="shared" ref="G68:G72" si="5">IFERROR(C68/F68-1,0)</f>
        <v>5.5874312865832776E-2</v>
      </c>
      <c r="H68" s="118">
        <v>1309669.4900000007</v>
      </c>
      <c r="I68" s="118">
        <v>1122610.1300000001</v>
      </c>
    </row>
    <row r="69" spans="1:9" x14ac:dyDescent="0.3">
      <c r="A69" s="102" t="s">
        <v>292</v>
      </c>
      <c r="B69" s="19" t="s">
        <v>293</v>
      </c>
      <c r="C69" s="20">
        <v>765444.46217279532</v>
      </c>
      <c r="D69" s="43">
        <v>596552.6015937184</v>
      </c>
      <c r="E69" s="16">
        <f t="shared" si="4"/>
        <v>0.28311310708875359</v>
      </c>
      <c r="F69" s="44">
        <v>549305.80000000028</v>
      </c>
      <c r="G69" s="22">
        <f t="shared" si="5"/>
        <v>0.39347602405216708</v>
      </c>
      <c r="H69" s="118">
        <v>364981.62999999995</v>
      </c>
      <c r="I69" s="118">
        <v>228979.33</v>
      </c>
    </row>
    <row r="70" spans="1:9" x14ac:dyDescent="0.3">
      <c r="A70" s="102" t="s">
        <v>294</v>
      </c>
      <c r="B70" s="19" t="s">
        <v>295</v>
      </c>
      <c r="C70" s="20">
        <v>510789.61888229102</v>
      </c>
      <c r="D70" s="43">
        <v>305669.43200531229</v>
      </c>
      <c r="E70" s="16">
        <f t="shared" si="4"/>
        <v>0.67105233759002081</v>
      </c>
      <c r="F70" s="44">
        <v>290434.39999999997</v>
      </c>
      <c r="G70" s="22">
        <f t="shared" si="5"/>
        <v>0.75870908846297502</v>
      </c>
      <c r="H70" s="118">
        <v>269106.96000000008</v>
      </c>
      <c r="I70" s="118">
        <v>846.2</v>
      </c>
    </row>
    <row r="71" spans="1:9" x14ac:dyDescent="0.3">
      <c r="A71" s="102" t="s">
        <v>296</v>
      </c>
      <c r="B71" s="19" t="s">
        <v>297</v>
      </c>
      <c r="C71" s="20">
        <v>167749.92000000004</v>
      </c>
      <c r="D71" s="43">
        <v>57038.078127500805</v>
      </c>
      <c r="E71" s="16">
        <f t="shared" si="4"/>
        <v>1.9410163439416399</v>
      </c>
      <c r="F71" s="44">
        <v>158703.72</v>
      </c>
      <c r="G71" s="22">
        <f t="shared" si="5"/>
        <v>5.7000554240316692E-2</v>
      </c>
      <c r="H71" s="118">
        <v>213520.35000000003</v>
      </c>
      <c r="I71" s="118">
        <v>4246.05</v>
      </c>
    </row>
    <row r="72" spans="1:9" x14ac:dyDescent="0.3">
      <c r="B72" s="46" t="s">
        <v>51</v>
      </c>
      <c r="C72" s="51">
        <f>SUM(C11:C71)</f>
        <v>19822689.219888058</v>
      </c>
      <c r="D72" s="28">
        <f>SUM(D11:D71)</f>
        <v>18448600.091825731</v>
      </c>
      <c r="E72" s="121">
        <f t="shared" si="4"/>
        <v>7.4482026886753427E-2</v>
      </c>
      <c r="F72" s="28">
        <f>SUM(F11:F71)</f>
        <v>18665130.009999994</v>
      </c>
      <c r="G72" s="122">
        <f t="shared" si="5"/>
        <v>6.2017205841474965E-2</v>
      </c>
      <c r="H72" s="150">
        <f t="shared" ref="H72:I72" si="6">SUM(H11:H71)</f>
        <v>17255087.24000001</v>
      </c>
      <c r="I72" s="142">
        <f t="shared" si="6"/>
        <v>16849961.809999995</v>
      </c>
    </row>
    <row r="73" spans="1:9" x14ac:dyDescent="0.3">
      <c r="B73" s="38"/>
      <c r="C73" s="50"/>
      <c r="D73" s="50"/>
      <c r="H73" s="50"/>
      <c r="I73" s="50"/>
    </row>
    <row r="74" spans="1:9" x14ac:dyDescent="0.3">
      <c r="B74" s="202" t="s">
        <v>56</v>
      </c>
      <c r="C74" s="8"/>
      <c r="D74" s="8"/>
      <c r="E74" s="36"/>
      <c r="F74" s="36"/>
      <c r="G74" s="36"/>
      <c r="H74" s="8"/>
      <c r="I74" s="8"/>
    </row>
    <row r="75" spans="1:9" ht="43.2" x14ac:dyDescent="0.3">
      <c r="B75" s="203"/>
      <c r="C75" s="10" t="str">
        <f>'23-Despesas '!C$4</f>
        <v>Orçamento 2026</v>
      </c>
      <c r="D75" s="10" t="str">
        <f>'23-Despesas '!D$4</f>
        <v>Projeção 2025</v>
      </c>
      <c r="E75" s="11" t="s">
        <v>6</v>
      </c>
      <c r="F75" s="37" t="str">
        <f>'23-Despesas '!F$4</f>
        <v>Orçamento 2025</v>
      </c>
      <c r="G75" s="12" t="s">
        <v>8</v>
      </c>
      <c r="H75" s="10" t="s">
        <v>382</v>
      </c>
      <c r="I75" s="10" t="s">
        <v>197</v>
      </c>
    </row>
    <row r="76" spans="1:9" x14ac:dyDescent="0.3">
      <c r="B76" s="39" t="s">
        <v>57</v>
      </c>
      <c r="C76" s="53">
        <f>SUM(C77:C79)</f>
        <v>13019391.959888026</v>
      </c>
      <c r="D76" s="54">
        <f>SUM(D77:D79)</f>
        <v>13100087.937815456</v>
      </c>
      <c r="E76" s="129">
        <f t="shared" ref="E76:E98" si="7">IFERROR(C76/D76-1,0)</f>
        <v>-6.1599569644481544E-3</v>
      </c>
      <c r="F76" s="55">
        <f>SUM(F77:F79)</f>
        <v>12746495.690000003</v>
      </c>
      <c r="G76" s="130">
        <f t="shared" ref="G76:G98" si="8">IFERROR(C76/F76-1,0)</f>
        <v>2.1409513369397448E-2</v>
      </c>
      <c r="H76" s="151">
        <f t="shared" ref="H76:I76" si="9">SUM(H77:H79)</f>
        <v>12149737.449999992</v>
      </c>
      <c r="I76" s="151">
        <f t="shared" si="9"/>
        <v>11587580.469999999</v>
      </c>
    </row>
    <row r="77" spans="1:9" x14ac:dyDescent="0.3">
      <c r="A77" s="85" t="s">
        <v>58</v>
      </c>
      <c r="B77" s="19" t="str">
        <f>A77</f>
        <v>Salários e provisões</v>
      </c>
      <c r="C77" s="20">
        <v>8174219.358165673</v>
      </c>
      <c r="D77" s="43">
        <v>8065988.6337175528</v>
      </c>
      <c r="E77" s="16">
        <f t="shared" si="7"/>
        <v>1.341815980197314E-2</v>
      </c>
      <c r="F77" s="44">
        <v>7898766.1400000062</v>
      </c>
      <c r="G77" s="22">
        <f t="shared" si="8"/>
        <v>3.4872942594255107E-2</v>
      </c>
      <c r="H77" s="118">
        <v>7495975.329999988</v>
      </c>
      <c r="I77" s="118">
        <v>7176387.0599999996</v>
      </c>
    </row>
    <row r="78" spans="1:9" x14ac:dyDescent="0.3">
      <c r="A78" s="85" t="s">
        <v>59</v>
      </c>
      <c r="B78" s="19" t="str">
        <f>A78</f>
        <v>Encargos sociais</v>
      </c>
      <c r="C78" s="20">
        <v>2901847.8721488127</v>
      </c>
      <c r="D78" s="43">
        <v>3034422.1181029719</v>
      </c>
      <c r="E78" s="16">
        <f t="shared" si="7"/>
        <v>-4.369011323877392E-2</v>
      </c>
      <c r="F78" s="44">
        <v>2740622.8599999985</v>
      </c>
      <c r="G78" s="22">
        <f t="shared" si="8"/>
        <v>5.8827872489108035E-2</v>
      </c>
      <c r="H78" s="118">
        <v>2834973.7300000028</v>
      </c>
      <c r="I78" s="118">
        <v>2701221.9799999995</v>
      </c>
    </row>
    <row r="79" spans="1:9" x14ac:dyDescent="0.3">
      <c r="A79" s="85" t="s">
        <v>60</v>
      </c>
      <c r="B79" s="19" t="str">
        <f>A79</f>
        <v>Benefícios</v>
      </c>
      <c r="C79" s="20">
        <v>1943324.7295735413</v>
      </c>
      <c r="D79" s="43">
        <v>1999677.1859949313</v>
      </c>
      <c r="E79" s="16">
        <f t="shared" si="7"/>
        <v>-2.8180776785404982E-2</v>
      </c>
      <c r="F79" s="44">
        <v>2107106.689999999</v>
      </c>
      <c r="G79" s="22">
        <f t="shared" si="8"/>
        <v>-7.7728366201740728E-2</v>
      </c>
      <c r="H79" s="118">
        <v>1818788.3900000001</v>
      </c>
      <c r="I79" s="118">
        <v>1709971.4299999997</v>
      </c>
    </row>
    <row r="80" spans="1:9" x14ac:dyDescent="0.3">
      <c r="B80" s="39" t="s">
        <v>62</v>
      </c>
      <c r="C80" s="53">
        <f>SUM(C81:C82)</f>
        <v>3704292.1200000057</v>
      </c>
      <c r="D80" s="54">
        <f>SUM(D81:D82)</f>
        <v>2422936.2922431831</v>
      </c>
      <c r="E80" s="131">
        <f t="shared" si="7"/>
        <v>0.52884420934176868</v>
      </c>
      <c r="F80" s="55">
        <f>SUM(F81:F82)</f>
        <v>2981192.8000000012</v>
      </c>
      <c r="G80" s="132">
        <f t="shared" si="8"/>
        <v>0.24255369193163356</v>
      </c>
      <c r="H80" s="151">
        <f t="shared" ref="H80:I80" si="10">SUM(H81:H82)</f>
        <v>2338241.36</v>
      </c>
      <c r="I80" s="151">
        <f t="shared" si="10"/>
        <v>2530823.52</v>
      </c>
    </row>
    <row r="81" spans="1:9" s="38" customFormat="1" x14ac:dyDescent="0.3">
      <c r="A81" s="85" t="s">
        <v>63</v>
      </c>
      <c r="B81" s="19" t="str">
        <f>A81</f>
        <v>Serviços contratados</v>
      </c>
      <c r="C81" s="20">
        <v>3704292.1200000057</v>
      </c>
      <c r="D81" s="43">
        <v>2419776.2922431831</v>
      </c>
      <c r="E81" s="127">
        <f t="shared" si="7"/>
        <v>0.53084073592854719</v>
      </c>
      <c r="F81" s="44">
        <v>2979218.8000000012</v>
      </c>
      <c r="G81" s="128">
        <f t="shared" si="8"/>
        <v>0.24337699533851098</v>
      </c>
      <c r="H81" s="118">
        <v>2335301.36</v>
      </c>
      <c r="I81" s="118">
        <v>2526951.92</v>
      </c>
    </row>
    <row r="82" spans="1:9" x14ac:dyDescent="0.3">
      <c r="A82" s="85" t="s">
        <v>100</v>
      </c>
      <c r="B82" s="19" t="str">
        <f>A82</f>
        <v>Encargos sobre serviços contratados</v>
      </c>
      <c r="C82" s="20">
        <v>0</v>
      </c>
      <c r="D82" s="43">
        <v>3160</v>
      </c>
      <c r="E82" s="124">
        <f t="shared" si="7"/>
        <v>-1</v>
      </c>
      <c r="F82" s="44">
        <v>1974</v>
      </c>
      <c r="G82" s="126">
        <f t="shared" si="8"/>
        <v>-1</v>
      </c>
      <c r="H82" s="118">
        <v>2940</v>
      </c>
      <c r="I82" s="118">
        <v>3871.6</v>
      </c>
    </row>
    <row r="83" spans="1:9" x14ac:dyDescent="0.3">
      <c r="B83" s="39" t="s">
        <v>64</v>
      </c>
      <c r="C83" s="53">
        <f>SUM(C84:C86)</f>
        <v>2846157.0800000015</v>
      </c>
      <c r="D83" s="54">
        <f>SUM(D84:D86)</f>
        <v>2755899.0704226634</v>
      </c>
      <c r="E83" s="129">
        <f t="shared" si="7"/>
        <v>3.2750840023867633E-2</v>
      </c>
      <c r="F83" s="55">
        <f>SUM(F84:F86)</f>
        <v>2697494.3200000003</v>
      </c>
      <c r="G83" s="130">
        <f t="shared" si="8"/>
        <v>5.5111426518221984E-2</v>
      </c>
      <c r="H83" s="151">
        <f t="shared" ref="H83:I83" si="11">SUM(H84:H86)</f>
        <v>2537974.3099999982</v>
      </c>
      <c r="I83" s="151">
        <f t="shared" si="11"/>
        <v>2527513.3299999996</v>
      </c>
    </row>
    <row r="84" spans="1:9" x14ac:dyDescent="0.3">
      <c r="A84" s="85" t="s">
        <v>65</v>
      </c>
      <c r="B84" s="19" t="str">
        <f>A84</f>
        <v>Material de consumo geral</v>
      </c>
      <c r="C84" s="20">
        <v>1919108.4000000011</v>
      </c>
      <c r="D84" s="43">
        <v>1902761.039254348</v>
      </c>
      <c r="E84" s="16">
        <f t="shared" si="7"/>
        <v>8.5913892540385728E-3</v>
      </c>
      <c r="F84" s="44">
        <v>1820439.12</v>
      </c>
      <c r="G84" s="22">
        <f t="shared" si="8"/>
        <v>5.4200812823666844E-2</v>
      </c>
      <c r="H84" s="118">
        <v>1711582.4399999983</v>
      </c>
      <c r="I84" s="118">
        <v>1908826.8199999996</v>
      </c>
    </row>
    <row r="85" spans="1:9" x14ac:dyDescent="0.3">
      <c r="A85" s="85" t="s">
        <v>67</v>
      </c>
      <c r="B85" s="19" t="str">
        <f>A85</f>
        <v>Mercadoria de uso geral</v>
      </c>
      <c r="C85" s="20">
        <v>924944.9600000002</v>
      </c>
      <c r="D85" s="43">
        <v>849856.45681744232</v>
      </c>
      <c r="E85" s="16">
        <f t="shared" si="7"/>
        <v>8.8354336288448909E-2</v>
      </c>
      <c r="F85" s="44">
        <v>875065</v>
      </c>
      <c r="G85" s="22">
        <f t="shared" si="8"/>
        <v>5.7001434179175581E-2</v>
      </c>
      <c r="H85" s="118">
        <v>822386.73</v>
      </c>
      <c r="I85" s="118">
        <v>615453.11</v>
      </c>
    </row>
    <row r="86" spans="1:9" x14ac:dyDescent="0.3">
      <c r="A86" s="85" t="s">
        <v>66</v>
      </c>
      <c r="B86" s="56" t="str">
        <f>A86</f>
        <v>Mercadoria de revenda e consumo</v>
      </c>
      <c r="C86" s="20">
        <v>2103.7199999999998</v>
      </c>
      <c r="D86" s="58">
        <v>3281.5743508730097</v>
      </c>
      <c r="E86" s="16">
        <f t="shared" si="7"/>
        <v>-0.35892965538314281</v>
      </c>
      <c r="F86" s="59">
        <v>1990.1999999999996</v>
      </c>
      <c r="G86" s="22">
        <f t="shared" si="8"/>
        <v>5.7039493518239448E-2</v>
      </c>
      <c r="H86" s="118">
        <v>4005.14</v>
      </c>
      <c r="I86" s="118">
        <v>3233.3999999999996</v>
      </c>
    </row>
    <row r="87" spans="1:9" s="45" customFormat="1" hidden="1" x14ac:dyDescent="0.3">
      <c r="B87" s="61" t="s">
        <v>68</v>
      </c>
      <c r="C87" s="40">
        <f>SUM(C88)</f>
        <v>0</v>
      </c>
      <c r="D87" s="62">
        <f>SUM(D88)</f>
        <v>0</v>
      </c>
      <c r="E87" s="16">
        <f t="shared" si="7"/>
        <v>0</v>
      </c>
      <c r="F87" s="63">
        <f>SUM(F88)</f>
        <v>0</v>
      </c>
      <c r="G87" s="22">
        <f t="shared" si="8"/>
        <v>0</v>
      </c>
      <c r="H87" s="147">
        <f t="shared" ref="H87:I87" si="12">SUM(H88)</f>
        <v>0</v>
      </c>
      <c r="I87" s="147">
        <f t="shared" si="12"/>
        <v>0</v>
      </c>
    </row>
    <row r="88" spans="1:9" hidden="1" x14ac:dyDescent="0.3">
      <c r="B88" s="19" t="s">
        <v>68</v>
      </c>
      <c r="C88" s="20"/>
      <c r="D88" s="43"/>
      <c r="E88" s="16">
        <f t="shared" si="7"/>
        <v>0</v>
      </c>
      <c r="F88" s="44">
        <v>0</v>
      </c>
      <c r="G88" s="22">
        <f t="shared" si="8"/>
        <v>0</v>
      </c>
      <c r="H88" s="118"/>
      <c r="I88" s="118"/>
    </row>
    <row r="89" spans="1:9" hidden="1" x14ac:dyDescent="0.3">
      <c r="B89" s="39" t="s">
        <v>69</v>
      </c>
      <c r="C89" s="53">
        <f>SUM(C90:C91)</f>
        <v>0</v>
      </c>
      <c r="D89" s="54">
        <f>SUM(D90:D91)</f>
        <v>0</v>
      </c>
      <c r="E89" s="16">
        <f t="shared" si="7"/>
        <v>0</v>
      </c>
      <c r="F89" s="55">
        <f>SUM(F90:F91)</f>
        <v>0</v>
      </c>
      <c r="G89" s="22">
        <f t="shared" si="8"/>
        <v>0</v>
      </c>
      <c r="H89" s="151">
        <f t="shared" ref="H89:I89" si="13">SUM(H90:H91)</f>
        <v>0</v>
      </c>
      <c r="I89" s="151">
        <f t="shared" si="13"/>
        <v>0</v>
      </c>
    </row>
    <row r="90" spans="1:9" hidden="1" x14ac:dyDescent="0.3">
      <c r="B90" s="19" t="s">
        <v>81</v>
      </c>
      <c r="C90" s="20"/>
      <c r="D90" s="43"/>
      <c r="E90" s="16">
        <f t="shared" si="7"/>
        <v>0</v>
      </c>
      <c r="F90" s="44"/>
      <c r="G90" s="22">
        <f t="shared" si="8"/>
        <v>0</v>
      </c>
      <c r="H90" s="118"/>
      <c r="I90" s="118"/>
    </row>
    <row r="91" spans="1:9" hidden="1" x14ac:dyDescent="0.3">
      <c r="B91" s="19" t="s">
        <v>70</v>
      </c>
      <c r="C91" s="20"/>
      <c r="D91" s="43"/>
      <c r="E91" s="16">
        <f t="shared" si="7"/>
        <v>0</v>
      </c>
      <c r="F91" s="44"/>
      <c r="G91" s="22">
        <f t="shared" si="8"/>
        <v>0</v>
      </c>
      <c r="H91" s="118"/>
      <c r="I91" s="118"/>
    </row>
    <row r="92" spans="1:9" x14ac:dyDescent="0.3">
      <c r="B92" s="39" t="s">
        <v>71</v>
      </c>
      <c r="C92" s="53">
        <f>SUM(C93:C95)</f>
        <v>221671.76000000004</v>
      </c>
      <c r="D92" s="54">
        <f>SUM(D93:D95)</f>
        <v>149215.64134444096</v>
      </c>
      <c r="E92" s="131">
        <f t="shared" si="7"/>
        <v>0.48557991643989573</v>
      </c>
      <c r="F92" s="55">
        <f>SUM(F93:F95)</f>
        <v>209452.2</v>
      </c>
      <c r="G92" s="132">
        <f t="shared" si="8"/>
        <v>5.8340566487246281E-2</v>
      </c>
      <c r="H92" s="151">
        <f t="shared" ref="H92:I92" si="14">SUM(H93:H95)</f>
        <v>208362.35</v>
      </c>
      <c r="I92" s="151">
        <f t="shared" si="14"/>
        <v>191043.28</v>
      </c>
    </row>
    <row r="93" spans="1:9" x14ac:dyDescent="0.3">
      <c r="A93" s="85" t="s">
        <v>73</v>
      </c>
      <c r="B93" s="19" t="str">
        <f>A93</f>
        <v>Outros gastos gerais</v>
      </c>
      <c r="C93" s="20">
        <v>207523.28000000003</v>
      </c>
      <c r="D93" s="43">
        <v>117291.54818546381</v>
      </c>
      <c r="E93" s="127">
        <f t="shared" si="7"/>
        <v>0.76929440535527727</v>
      </c>
      <c r="F93" s="44">
        <v>195052.7</v>
      </c>
      <c r="G93" s="128">
        <f t="shared" si="8"/>
        <v>6.3934413622574793E-2</v>
      </c>
      <c r="H93" s="118">
        <v>172815.01</v>
      </c>
      <c r="I93" s="118">
        <v>160663.03</v>
      </c>
    </row>
    <row r="94" spans="1:9" x14ac:dyDescent="0.3">
      <c r="A94" s="85" t="s">
        <v>72</v>
      </c>
      <c r="B94" s="19" t="str">
        <f>A94</f>
        <v>Locomoções gerais - viagens - estadias</v>
      </c>
      <c r="C94" s="20">
        <v>14148.480000000003</v>
      </c>
      <c r="D94" s="43">
        <v>28175.803158977153</v>
      </c>
      <c r="E94" s="127">
        <f t="shared" si="7"/>
        <v>-0.49784998425174876</v>
      </c>
      <c r="F94" s="44">
        <v>13385.400000000001</v>
      </c>
      <c r="G94" s="128">
        <f t="shared" si="8"/>
        <v>5.7008382267246471E-2</v>
      </c>
      <c r="H94" s="118">
        <v>33526.15</v>
      </c>
      <c r="I94" s="118">
        <v>21220.98</v>
      </c>
    </row>
    <row r="95" spans="1:9" x14ac:dyDescent="0.3">
      <c r="A95" s="85" t="s">
        <v>82</v>
      </c>
      <c r="B95" s="56" t="str">
        <f>A95</f>
        <v>Despesas financeiras</v>
      </c>
      <c r="C95" s="20">
        <v>0</v>
      </c>
      <c r="D95" s="58">
        <v>3748.29</v>
      </c>
      <c r="E95" s="124">
        <f t="shared" si="7"/>
        <v>-1</v>
      </c>
      <c r="F95" s="59">
        <v>1014.1</v>
      </c>
      <c r="G95" s="126">
        <f t="shared" si="8"/>
        <v>-1</v>
      </c>
      <c r="H95" s="118">
        <v>2021.1899999999996</v>
      </c>
      <c r="I95" s="118">
        <v>9159.2699999999986</v>
      </c>
    </row>
    <row r="96" spans="1:9" s="45" customFormat="1" x14ac:dyDescent="0.3">
      <c r="B96" s="39" t="s">
        <v>83</v>
      </c>
      <c r="C96" s="53">
        <f>SUM(C97)</f>
        <v>31176.299999999992</v>
      </c>
      <c r="D96" s="65">
        <f>SUM(D97)</f>
        <v>20461.150000000001</v>
      </c>
      <c r="E96" s="129">
        <f t="shared" si="7"/>
        <v>0.52368268645701677</v>
      </c>
      <c r="F96" s="66">
        <f>SUM(F97)</f>
        <v>30495</v>
      </c>
      <c r="G96" s="130">
        <f t="shared" si="8"/>
        <v>2.2341367437284543E-2</v>
      </c>
      <c r="H96" s="151">
        <f t="shared" ref="H96:I96" si="15">SUM(H97)</f>
        <v>20771.77</v>
      </c>
      <c r="I96" s="151">
        <f t="shared" si="15"/>
        <v>13001.210000000001</v>
      </c>
    </row>
    <row r="97" spans="1:9" x14ac:dyDescent="0.3">
      <c r="A97" s="85" t="s">
        <v>83</v>
      </c>
      <c r="B97" s="19" t="str">
        <f>A97</f>
        <v>Tributários fiscais e taxas</v>
      </c>
      <c r="C97" s="20">
        <v>31176.299999999992</v>
      </c>
      <c r="D97" s="79">
        <v>20461.150000000001</v>
      </c>
      <c r="E97" s="16">
        <f t="shared" si="7"/>
        <v>0.52368268645701677</v>
      </c>
      <c r="F97" s="70">
        <v>30495</v>
      </c>
      <c r="G97" s="22">
        <f t="shared" si="8"/>
        <v>2.2341367437284543E-2</v>
      </c>
      <c r="H97" s="118">
        <v>20771.77</v>
      </c>
      <c r="I97" s="118">
        <v>13001.210000000001</v>
      </c>
    </row>
    <row r="98" spans="1:9" x14ac:dyDescent="0.3">
      <c r="B98" s="46" t="s">
        <v>51</v>
      </c>
      <c r="C98" s="51">
        <f>SUM(C96+C92+C89+C87+C83+C80+C76)</f>
        <v>19822689.219888031</v>
      </c>
      <c r="D98" s="49">
        <f>SUM(D96+D92+D89+D87+D83+D80+D76)</f>
        <v>18448600.091825742</v>
      </c>
      <c r="E98" s="121">
        <f t="shared" si="7"/>
        <v>7.4482026886751429E-2</v>
      </c>
      <c r="F98" s="49">
        <f>SUM(F96+F92+F89+F87+F83+F80+F76)</f>
        <v>18665130.010000005</v>
      </c>
      <c r="G98" s="122">
        <f t="shared" si="8"/>
        <v>6.2017205841472967E-2</v>
      </c>
      <c r="H98" s="150">
        <f t="shared" ref="H98:I98" si="16">SUM(H96+H92+H89+H87+H83+H80+H76)</f>
        <v>17255087.239999991</v>
      </c>
      <c r="I98" s="142">
        <f t="shared" si="16"/>
        <v>16849961.809999999</v>
      </c>
    </row>
  </sheetData>
  <mergeCells count="3">
    <mergeCell ref="B3:B4"/>
    <mergeCell ref="B8:B9"/>
    <mergeCell ref="B74:B7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F80 F83 F87:F92 F96 C96:D96 C87:D92 C83:D83 C80:D80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5"/>
  <sheetViews>
    <sheetView showGridLines="0" showRowColHeaders="0" topLeftCell="B7" workbookViewId="0">
      <selection activeCell="C27" sqref="C27"/>
    </sheetView>
  </sheetViews>
  <sheetFormatPr defaultRowHeight="14.4" x14ac:dyDescent="0.3"/>
  <cols>
    <col min="1" max="1" width="23.664062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2" t="s">
        <v>298</v>
      </c>
      <c r="C1" s="3"/>
      <c r="D1" s="3"/>
      <c r="E1" s="3"/>
      <c r="F1" s="3"/>
      <c r="G1" s="3"/>
      <c r="H1" s="3"/>
      <c r="I1" s="3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2"/>
      <c r="C4" s="103" t="str">
        <f>'23-Despesas '!C$4</f>
        <v>Orçamento 2026</v>
      </c>
      <c r="D4" s="103" t="str">
        <f>'23-Despesas '!D$4</f>
        <v>Projeção 2025</v>
      </c>
      <c r="E4" s="11" t="s">
        <v>6</v>
      </c>
      <c r="F4" s="104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x14ac:dyDescent="0.3">
      <c r="A5" t="str">
        <f>B5</f>
        <v>Planejamento</v>
      </c>
      <c r="B5" s="61" t="s">
        <v>299</v>
      </c>
      <c r="C5" s="40">
        <v>4022374</v>
      </c>
      <c r="D5" s="41">
        <v>3183707.6576036937</v>
      </c>
      <c r="E5" s="129">
        <f>IFERROR(C5/D5-1,0)</f>
        <v>0.26342441976206832</v>
      </c>
      <c r="F5" s="42">
        <v>3094134.02</v>
      </c>
      <c r="G5" s="133">
        <f>IFERROR(C5/F5-1,0)</f>
        <v>0.29999992695856137</v>
      </c>
      <c r="H5" s="147">
        <v>2936999.24</v>
      </c>
      <c r="I5" s="147">
        <v>2552642.85</v>
      </c>
    </row>
    <row r="6" spans="1:9" x14ac:dyDescent="0.3">
      <c r="A6" t="str">
        <f>B6</f>
        <v>Tecnologia</v>
      </c>
      <c r="B6" s="19" t="s">
        <v>300</v>
      </c>
      <c r="C6" s="20">
        <v>5026018.3653392913</v>
      </c>
      <c r="D6" s="43">
        <v>4427231.2283100989</v>
      </c>
      <c r="E6" s="16">
        <f t="shared" ref="E6:E35" si="0">IFERROR(C6/D6-1,0)</f>
        <v>0.13525092911348868</v>
      </c>
      <c r="F6" s="44">
        <v>4492576.75</v>
      </c>
      <c r="G6" s="22">
        <f t="shared" ref="G6:G35" si="1">IFERROR(C6/F6-1,0)</f>
        <v>0.11873845345865064</v>
      </c>
      <c r="H6" s="118">
        <v>4183620.2200000021</v>
      </c>
      <c r="I6" s="118">
        <v>4107544.6299999994</v>
      </c>
    </row>
    <row r="7" spans="1:9" x14ac:dyDescent="0.3">
      <c r="B7" s="46" t="s">
        <v>51</v>
      </c>
      <c r="C7" s="51">
        <f>SUM(C5:C6)</f>
        <v>9048392.3653392904</v>
      </c>
      <c r="D7" s="49">
        <f>SUM(D5:D6)</f>
        <v>7610938.885913793</v>
      </c>
      <c r="E7" s="121">
        <f t="shared" si="0"/>
        <v>0.18886677464798907</v>
      </c>
      <c r="F7" s="28">
        <f>SUM(F5:F6)</f>
        <v>7586710.7699999996</v>
      </c>
      <c r="G7" s="122">
        <f t="shared" si="1"/>
        <v>0.19266341365209194</v>
      </c>
      <c r="H7" s="150">
        <f t="shared" ref="H7:I7" si="2">SUM(H5:H6)</f>
        <v>7120619.4600000028</v>
      </c>
      <c r="I7" s="142">
        <f t="shared" si="2"/>
        <v>6660187.4799999995</v>
      </c>
    </row>
    <row r="8" spans="1:9" x14ac:dyDescent="0.3">
      <c r="B8" s="105"/>
      <c r="C8" s="50"/>
      <c r="D8" s="50"/>
      <c r="H8" s="154"/>
      <c r="I8" s="154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104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 s="85" t="s">
        <v>299</v>
      </c>
      <c r="B11" s="13" t="str">
        <f>A11</f>
        <v>Planejamento</v>
      </c>
      <c r="C11" s="20">
        <v>3687153</v>
      </c>
      <c r="D11" s="21">
        <v>2902088.4529935196</v>
      </c>
      <c r="E11" s="16">
        <f t="shared" si="0"/>
        <v>0.27051709819412362</v>
      </c>
      <c r="F11" s="64">
        <v>2763722.4700000011</v>
      </c>
      <c r="G11" s="22">
        <f>IFERROR(C11/F11-1,0)</f>
        <v>0.33412563671778472</v>
      </c>
      <c r="H11" s="118">
        <v>2577452.9000000004</v>
      </c>
      <c r="I11" s="118">
        <v>2290378.44</v>
      </c>
    </row>
    <row r="12" spans="1:9" x14ac:dyDescent="0.3">
      <c r="A12" s="85" t="s">
        <v>301</v>
      </c>
      <c r="B12" s="19" t="str">
        <f>A12</f>
        <v>Sistema de Gestão da Qualidade e Processos</v>
      </c>
      <c r="C12" s="20">
        <v>294140.52999999997</v>
      </c>
      <c r="D12" s="21">
        <v>240584.36606482996</v>
      </c>
      <c r="E12" s="16">
        <f t="shared" si="0"/>
        <v>0.22260866244624689</v>
      </c>
      <c r="F12" s="64">
        <v>307911.55</v>
      </c>
      <c r="G12" s="22">
        <f>IFERROR(C12/F12-1,0)</f>
        <v>-4.4723947510250994E-2</v>
      </c>
      <c r="H12" s="118">
        <v>289533.59000000003</v>
      </c>
      <c r="I12" s="118">
        <v>246788.80000000002</v>
      </c>
    </row>
    <row r="13" spans="1:9" x14ac:dyDescent="0.3">
      <c r="A13" s="85" t="s">
        <v>302</v>
      </c>
      <c r="B13" s="19" t="str">
        <f>A13</f>
        <v>Plano Diretor de Desenvolvimento</v>
      </c>
      <c r="C13" s="20">
        <v>41080</v>
      </c>
      <c r="D13" s="21">
        <v>41034.838545345061</v>
      </c>
      <c r="E13" s="16">
        <f t="shared" si="0"/>
        <v>1.1005637223364673E-3</v>
      </c>
      <c r="F13" s="64">
        <v>22500</v>
      </c>
      <c r="G13" s="24">
        <f t="shared" si="1"/>
        <v>0.82577777777777772</v>
      </c>
      <c r="H13" s="118">
        <v>70012.75</v>
      </c>
      <c r="I13" s="118">
        <v>15475.61</v>
      </c>
    </row>
    <row r="14" spans="1:9" s="25" customFormat="1" x14ac:dyDescent="0.3">
      <c r="B14" s="26" t="s">
        <v>51</v>
      </c>
      <c r="C14" s="27">
        <f>SUM(C11:C13)</f>
        <v>4022373.53</v>
      </c>
      <c r="D14" s="28">
        <f>SUM(D11:D13)</f>
        <v>3183707.6576036946</v>
      </c>
      <c r="E14" s="121">
        <f t="shared" si="0"/>
        <v>0.26342427213544806</v>
      </c>
      <c r="F14" s="28">
        <f>SUM(F11:F13)</f>
        <v>3094134.0200000009</v>
      </c>
      <c r="G14" s="120">
        <f t="shared" si="1"/>
        <v>0.29999977505822417</v>
      </c>
      <c r="H14" s="144">
        <f t="shared" ref="H14:I14" si="3">SUM(H11:H13)</f>
        <v>2936999.24</v>
      </c>
      <c r="I14" s="143">
        <f t="shared" si="3"/>
        <v>2552642.8499999996</v>
      </c>
    </row>
    <row r="15" spans="1:9" x14ac:dyDescent="0.3">
      <c r="B15" s="71"/>
      <c r="C15" s="70"/>
      <c r="D15" s="70"/>
      <c r="H15" s="70"/>
      <c r="I15" s="70"/>
    </row>
    <row r="16" spans="1:9" x14ac:dyDescent="0.3">
      <c r="B16" s="202" t="s">
        <v>56</v>
      </c>
      <c r="C16" s="8"/>
      <c r="D16" s="8"/>
      <c r="E16" s="36"/>
      <c r="F16" s="36"/>
      <c r="G16" s="36"/>
      <c r="H16" s="8"/>
      <c r="I16" s="8"/>
    </row>
    <row r="17" spans="1:9" ht="43.2" x14ac:dyDescent="0.3">
      <c r="B17" s="203"/>
      <c r="C17" s="10" t="str">
        <f>'23-Despesas '!C$4</f>
        <v>Orçamento 2026</v>
      </c>
      <c r="D17" s="10" t="str">
        <f>'23-Despesas '!D$4</f>
        <v>Projeção 2025</v>
      </c>
      <c r="E17" s="11" t="s">
        <v>6</v>
      </c>
      <c r="F17" s="104" t="str">
        <f>'23-Despesas '!F$4</f>
        <v>Orçamento 2025</v>
      </c>
      <c r="G17" s="12" t="s">
        <v>8</v>
      </c>
      <c r="H17" s="10" t="s">
        <v>382</v>
      </c>
      <c r="I17" s="10" t="s">
        <v>197</v>
      </c>
    </row>
    <row r="18" spans="1:9" x14ac:dyDescent="0.3">
      <c r="B18" s="39" t="s">
        <v>57</v>
      </c>
      <c r="C18" s="40">
        <f>SUM(C19:C22)</f>
        <v>2898555.273292467</v>
      </c>
      <c r="D18" s="62">
        <f>SUM(D19:D22)</f>
        <v>2708863.4833742417</v>
      </c>
      <c r="E18" s="129">
        <f t="shared" si="0"/>
        <v>7.0026338013143175E-2</v>
      </c>
      <c r="F18" s="63">
        <f>SUM(F19:F22)</f>
        <v>2556665.2400000002</v>
      </c>
      <c r="G18" s="138">
        <f t="shared" si="1"/>
        <v>0.13372498985923809</v>
      </c>
      <c r="H18" s="147">
        <f t="shared" ref="H18:I18" si="4">SUM(H19:H22)</f>
        <v>2415954.2300000004</v>
      </c>
      <c r="I18" s="147">
        <f t="shared" si="4"/>
        <v>2194816.4200000004</v>
      </c>
    </row>
    <row r="19" spans="1:9" x14ac:dyDescent="0.3">
      <c r="A19" s="85" t="s">
        <v>58</v>
      </c>
      <c r="B19" s="19" t="str">
        <f>A19</f>
        <v>Salários e provisões</v>
      </c>
      <c r="C19" s="20">
        <v>1903198.5216121026</v>
      </c>
      <c r="D19" s="43">
        <v>1838064.3760980032</v>
      </c>
      <c r="E19" s="16">
        <f t="shared" si="0"/>
        <v>3.5436270002888293E-2</v>
      </c>
      <c r="F19" s="44">
        <v>1740366.9600000002</v>
      </c>
      <c r="G19" s="24">
        <f t="shared" si="1"/>
        <v>9.3561625424159134E-2</v>
      </c>
      <c r="H19" s="118">
        <v>1650457.86</v>
      </c>
      <c r="I19" s="118">
        <v>1508112.6600000001</v>
      </c>
    </row>
    <row r="20" spans="1:9" x14ac:dyDescent="0.3">
      <c r="A20" s="85" t="s">
        <v>59</v>
      </c>
      <c r="B20" s="19" t="str">
        <f>A20</f>
        <v>Encargos sociais</v>
      </c>
      <c r="C20" s="20">
        <v>675635.4751722964</v>
      </c>
      <c r="D20" s="43">
        <v>648254.28045008238</v>
      </c>
      <c r="E20" s="16">
        <f t="shared" si="0"/>
        <v>4.2238355453979137E-2</v>
      </c>
      <c r="F20" s="44">
        <v>617830.16999999993</v>
      </c>
      <c r="G20" s="22">
        <f t="shared" si="1"/>
        <v>9.3561803840522151E-2</v>
      </c>
      <c r="H20" s="118">
        <v>561554.33000000019</v>
      </c>
      <c r="I20" s="118">
        <v>527137.82000000007</v>
      </c>
    </row>
    <row r="21" spans="1:9" x14ac:dyDescent="0.3">
      <c r="A21" s="85" t="s">
        <v>60</v>
      </c>
      <c r="B21" s="19" t="str">
        <f>A21</f>
        <v>Benefícios</v>
      </c>
      <c r="C21" s="20">
        <v>301531.91650806769</v>
      </c>
      <c r="D21" s="43">
        <v>198963.80116987476</v>
      </c>
      <c r="E21" s="16">
        <f t="shared" si="0"/>
        <v>0.51551143843809344</v>
      </c>
      <c r="F21" s="44">
        <v>181144.91000000012</v>
      </c>
      <c r="G21" s="22">
        <f t="shared" si="1"/>
        <v>0.6645895074173902</v>
      </c>
      <c r="H21" s="118">
        <v>175808.53000000003</v>
      </c>
      <c r="I21" s="118">
        <v>147393.28</v>
      </c>
    </row>
    <row r="22" spans="1:9" x14ac:dyDescent="0.3">
      <c r="A22" s="85" t="s">
        <v>61</v>
      </c>
      <c r="B22" s="19" t="str">
        <f>A22</f>
        <v>Outros</v>
      </c>
      <c r="C22" s="20">
        <v>18189.36</v>
      </c>
      <c r="D22" s="43">
        <v>23581.025656281658</v>
      </c>
      <c r="E22" s="16">
        <f t="shared" si="0"/>
        <v>-0.22864423858702654</v>
      </c>
      <c r="F22" s="44">
        <v>17323.2</v>
      </c>
      <c r="G22" s="22">
        <f t="shared" si="1"/>
        <v>5.0000000000000044E-2</v>
      </c>
      <c r="H22" s="118">
        <v>28133.51</v>
      </c>
      <c r="I22" s="118">
        <v>12172.66</v>
      </c>
    </row>
    <row r="23" spans="1:9" x14ac:dyDescent="0.3">
      <c r="B23" s="39" t="s">
        <v>62</v>
      </c>
      <c r="C23" s="53">
        <f>SUM(C24:C24)</f>
        <v>1114788.8399999999</v>
      </c>
      <c r="D23" s="65">
        <f>SUM(D24:D24)</f>
        <v>459982.20562817133</v>
      </c>
      <c r="E23" s="131">
        <f t="shared" si="0"/>
        <v>1.423547751108321</v>
      </c>
      <c r="F23" s="66">
        <f>SUM(F24:F24)</f>
        <v>514968.7800000002</v>
      </c>
      <c r="G23" s="132">
        <f t="shared" si="1"/>
        <v>1.164769755556831</v>
      </c>
      <c r="H23" s="151">
        <f t="shared" ref="H23:I23" si="5">SUM(H24:H24)</f>
        <v>510896.62</v>
      </c>
      <c r="I23" s="151">
        <f t="shared" si="5"/>
        <v>352316.12000000011</v>
      </c>
    </row>
    <row r="24" spans="1:9" x14ac:dyDescent="0.3">
      <c r="A24" s="85" t="s">
        <v>63</v>
      </c>
      <c r="B24" s="19" t="str">
        <f>A24</f>
        <v>Serviços contratados</v>
      </c>
      <c r="C24" s="20">
        <v>1114788.8399999999</v>
      </c>
      <c r="D24" s="21">
        <v>459982.20562817133</v>
      </c>
      <c r="E24" s="124">
        <f t="shared" si="0"/>
        <v>1.423547751108321</v>
      </c>
      <c r="F24" s="64">
        <v>514968.7800000002</v>
      </c>
      <c r="G24" s="126">
        <f t="shared" si="1"/>
        <v>1.164769755556831</v>
      </c>
      <c r="H24" s="118">
        <v>510896.62</v>
      </c>
      <c r="I24" s="118">
        <v>352316.12000000011</v>
      </c>
    </row>
    <row r="25" spans="1:9" x14ac:dyDescent="0.3">
      <c r="B25" s="39" t="s">
        <v>64</v>
      </c>
      <c r="C25" s="53">
        <f>SUM(C26:C27)</f>
        <v>1829</v>
      </c>
      <c r="D25" s="65">
        <f>SUM(D26:D27)</f>
        <v>8417.5117400739382</v>
      </c>
      <c r="E25" s="131">
        <f t="shared" si="0"/>
        <v>-0.78271488576695059</v>
      </c>
      <c r="F25" s="66">
        <f>SUM(F26:F27)</f>
        <v>14000</v>
      </c>
      <c r="G25" s="132">
        <f t="shared" si="1"/>
        <v>-0.86935714285714283</v>
      </c>
      <c r="H25" s="151">
        <f t="shared" ref="H25:I25" si="6">SUM(H26:H27)</f>
        <v>6341.32</v>
      </c>
      <c r="I25" s="151">
        <f t="shared" si="6"/>
        <v>4717.33</v>
      </c>
    </row>
    <row r="26" spans="1:9" x14ac:dyDescent="0.3">
      <c r="A26" s="85" t="s">
        <v>66</v>
      </c>
      <c r="B26" s="19" t="str">
        <f>A26</f>
        <v>Mercadoria de revenda e consumo</v>
      </c>
      <c r="C26" s="20">
        <v>680</v>
      </c>
      <c r="D26" s="21">
        <v>6786.6913920591505</v>
      </c>
      <c r="E26" s="127">
        <f t="shared" si="0"/>
        <v>-0.89980390138328048</v>
      </c>
      <c r="F26" s="64">
        <v>11000</v>
      </c>
      <c r="G26" s="128">
        <f t="shared" si="1"/>
        <v>-0.93818181818181823</v>
      </c>
      <c r="H26" s="118">
        <v>5299.5599999999995</v>
      </c>
      <c r="I26" s="118">
        <v>2429.8500000000004</v>
      </c>
    </row>
    <row r="27" spans="1:9" x14ac:dyDescent="0.3">
      <c r="A27" s="85" t="s">
        <v>65</v>
      </c>
      <c r="B27" s="19" t="str">
        <f>A27</f>
        <v>Material de consumo geral</v>
      </c>
      <c r="C27" s="57">
        <v>1149</v>
      </c>
      <c r="D27" s="67">
        <v>1630.820348014787</v>
      </c>
      <c r="E27" s="124">
        <f t="shared" si="0"/>
        <v>-0.29544661286653151</v>
      </c>
      <c r="F27" s="90">
        <v>3000</v>
      </c>
      <c r="G27" s="126">
        <f t="shared" si="1"/>
        <v>-0.61699999999999999</v>
      </c>
      <c r="H27" s="118">
        <v>1041.7599999999998</v>
      </c>
      <c r="I27" s="118">
        <v>2287.48</v>
      </c>
    </row>
    <row r="28" spans="1:9" hidden="1" x14ac:dyDescent="0.3">
      <c r="B28" s="39" t="s">
        <v>68</v>
      </c>
      <c r="C28" s="40">
        <f>SUM(C29)</f>
        <v>0</v>
      </c>
      <c r="D28" s="62">
        <f>SUM(D29)</f>
        <v>0</v>
      </c>
      <c r="E28" s="16">
        <f t="shared" si="0"/>
        <v>0</v>
      </c>
      <c r="F28" s="63">
        <v>0</v>
      </c>
      <c r="G28" s="22">
        <f t="shared" si="1"/>
        <v>0</v>
      </c>
      <c r="H28" s="147">
        <f t="shared" ref="H28:I28" si="7">SUM(H29)</f>
        <v>0</v>
      </c>
      <c r="I28" s="147">
        <f t="shared" si="7"/>
        <v>0</v>
      </c>
    </row>
    <row r="29" spans="1:9" hidden="1" x14ac:dyDescent="0.3">
      <c r="B29" s="19" t="s">
        <v>68</v>
      </c>
      <c r="C29" s="20">
        <v>0</v>
      </c>
      <c r="D29" s="21">
        <v>0</v>
      </c>
      <c r="E29" s="16">
        <f t="shared" si="0"/>
        <v>0</v>
      </c>
      <c r="F29" s="64">
        <v>0</v>
      </c>
      <c r="G29" s="22">
        <f t="shared" si="1"/>
        <v>0</v>
      </c>
      <c r="H29" s="118">
        <v>0</v>
      </c>
      <c r="I29" s="118">
        <v>0</v>
      </c>
    </row>
    <row r="30" spans="1:9" hidden="1" x14ac:dyDescent="0.3">
      <c r="B30" s="39" t="s">
        <v>69</v>
      </c>
      <c r="C30" s="14">
        <f>SUM(C31)</f>
        <v>0</v>
      </c>
      <c r="D30" s="15">
        <f>SUM(D31)</f>
        <v>0</v>
      </c>
      <c r="E30" s="16">
        <f t="shared" si="0"/>
        <v>0</v>
      </c>
      <c r="F30" s="106">
        <v>0</v>
      </c>
      <c r="G30" s="22">
        <f t="shared" si="1"/>
        <v>0</v>
      </c>
      <c r="H30" s="153">
        <f t="shared" ref="H30:I30" si="8">SUM(H31)</f>
        <v>0</v>
      </c>
      <c r="I30" s="153">
        <f t="shared" si="8"/>
        <v>0</v>
      </c>
    </row>
    <row r="31" spans="1:9" hidden="1" x14ac:dyDescent="0.3">
      <c r="B31" s="19" t="s">
        <v>70</v>
      </c>
      <c r="C31" s="57">
        <v>0</v>
      </c>
      <c r="D31" s="67">
        <v>0</v>
      </c>
      <c r="E31" s="16">
        <f t="shared" si="0"/>
        <v>0</v>
      </c>
      <c r="F31" s="90">
        <v>0</v>
      </c>
      <c r="G31" s="22">
        <f t="shared" si="1"/>
        <v>0</v>
      </c>
      <c r="H31" s="152">
        <v>0</v>
      </c>
      <c r="I31" s="152">
        <v>0</v>
      </c>
    </row>
    <row r="32" spans="1:9" x14ac:dyDescent="0.3">
      <c r="B32" s="39" t="s">
        <v>71</v>
      </c>
      <c r="C32" s="40">
        <f>SUM(C33:C34)</f>
        <v>7200</v>
      </c>
      <c r="D32" s="62">
        <f>SUM(D33:D34)</f>
        <v>6444.456861208484</v>
      </c>
      <c r="E32" s="129">
        <f t="shared" si="0"/>
        <v>0.11723922668167797</v>
      </c>
      <c r="F32" s="63">
        <f>SUM(F33:F34)</f>
        <v>8500</v>
      </c>
      <c r="G32" s="130">
        <f t="shared" si="1"/>
        <v>-0.15294117647058825</v>
      </c>
      <c r="H32" s="147">
        <f t="shared" ref="H32:I32" si="9">SUM(H33:H34)</f>
        <v>3807.07</v>
      </c>
      <c r="I32" s="147">
        <f t="shared" si="9"/>
        <v>792.98</v>
      </c>
    </row>
    <row r="33" spans="1:9" x14ac:dyDescent="0.3">
      <c r="A33" s="85" t="s">
        <v>72</v>
      </c>
      <c r="B33" s="19" t="str">
        <f>A33</f>
        <v>Locomoções gerais - viagens - estadias</v>
      </c>
      <c r="C33" s="20">
        <v>7100</v>
      </c>
      <c r="D33" s="21">
        <v>5440.7768612084838</v>
      </c>
      <c r="E33" s="16">
        <f t="shared" si="0"/>
        <v>0.30496070342847625</v>
      </c>
      <c r="F33" s="64">
        <v>8500</v>
      </c>
      <c r="G33" s="22">
        <f t="shared" si="1"/>
        <v>-0.16470588235294115</v>
      </c>
      <c r="H33" s="118">
        <v>3633.25</v>
      </c>
      <c r="I33" s="118">
        <v>208.95000000000002</v>
      </c>
    </row>
    <row r="34" spans="1:9" x14ac:dyDescent="0.3">
      <c r="A34" s="85" t="s">
        <v>73</v>
      </c>
      <c r="B34" s="107" t="str">
        <f>A34</f>
        <v>Outros gastos gerais</v>
      </c>
      <c r="C34" s="20">
        <v>100</v>
      </c>
      <c r="D34" s="21">
        <v>1003.6800000000001</v>
      </c>
      <c r="E34" s="16">
        <f t="shared" si="0"/>
        <v>-0.90036665072533073</v>
      </c>
      <c r="F34" s="64">
        <v>0</v>
      </c>
      <c r="G34" s="22">
        <f t="shared" si="1"/>
        <v>0</v>
      </c>
      <c r="H34" s="118">
        <v>173.82</v>
      </c>
      <c r="I34" s="118">
        <v>584.03</v>
      </c>
    </row>
    <row r="35" spans="1:9" x14ac:dyDescent="0.3">
      <c r="B35" s="26" t="s">
        <v>51</v>
      </c>
      <c r="C35" s="51">
        <f>SUM(C32+C28+C25+C23+C18+C30)</f>
        <v>4022373.1132924668</v>
      </c>
      <c r="D35" s="28">
        <f>SUM(D32+D28+D25+D23+D18+D30)</f>
        <v>3183707.6576036955</v>
      </c>
      <c r="E35" s="121">
        <f t="shared" si="0"/>
        <v>0.26342414124794855</v>
      </c>
      <c r="F35" s="28">
        <f>SUM(F32+F28+F25+F23+F18+F30)</f>
        <v>3094134.0200000005</v>
      </c>
      <c r="G35" s="122">
        <f t="shared" si="1"/>
        <v>0.29999964038159743</v>
      </c>
      <c r="H35" s="150">
        <f t="shared" ref="H35:I35" si="10">SUM(H32+H28+H25+H23+H18+H30)</f>
        <v>2936999.24</v>
      </c>
      <c r="I35" s="142">
        <f t="shared" si="10"/>
        <v>2552642.8500000006</v>
      </c>
    </row>
  </sheetData>
  <mergeCells count="3">
    <mergeCell ref="B3:B4"/>
    <mergeCell ref="B9:B10"/>
    <mergeCell ref="B16:B17"/>
  </mergeCells>
  <pageMargins left="0.511811024" right="0.511811024" top="0.78740157499999996" bottom="0.78740157499999996" header="0.31496062000000002" footer="0.31496062000000002"/>
  <ignoredErrors>
    <ignoredError sqref="F23 F25 F28:F32 C28:D32 C25:D25 C23:D23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11"/>
  <sheetViews>
    <sheetView showGridLines="0" showRowColHeaders="0" topLeftCell="B1" workbookViewId="0">
      <selection activeCell="C5" sqref="C5"/>
    </sheetView>
  </sheetViews>
  <sheetFormatPr defaultRowHeight="14.4" x14ac:dyDescent="0.3"/>
  <cols>
    <col min="1" max="1" width="27.88671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108" t="s">
        <v>303</v>
      </c>
      <c r="C1" s="109"/>
      <c r="D1" s="109"/>
      <c r="E1" s="109"/>
      <c r="F1" s="109"/>
      <c r="G1" s="109"/>
      <c r="H1" s="109"/>
      <c r="I1" s="109"/>
    </row>
    <row r="2" spans="1:9" x14ac:dyDescent="0.3">
      <c r="A2" t="s">
        <v>9</v>
      </c>
      <c r="B2" s="7"/>
      <c r="C2" s="98"/>
      <c r="D2" s="98"/>
      <c r="E2" s="98"/>
      <c r="F2" s="98"/>
      <c r="G2" s="98"/>
    </row>
    <row r="3" spans="1:9" x14ac:dyDescent="0.3">
      <c r="B3" s="202" t="s">
        <v>45</v>
      </c>
      <c r="C3" s="110"/>
      <c r="D3" s="110"/>
      <c r="E3" s="110"/>
      <c r="F3" s="110"/>
      <c r="G3" s="110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Planejamento</v>
      </c>
      <c r="B5" s="19" t="str">
        <f>'68-PLA'!B5</f>
        <v>Planejamento</v>
      </c>
      <c r="C5" s="20">
        <v>4022374</v>
      </c>
      <c r="D5" s="43">
        <f>'68-PLA'!D5</f>
        <v>3183707.6576036937</v>
      </c>
      <c r="E5" s="16">
        <f>IFERROR(C5/D5-1,0)</f>
        <v>0.26342441976206832</v>
      </c>
      <c r="F5" s="64">
        <f>'68-PLA'!F5</f>
        <v>3094134.02</v>
      </c>
      <c r="G5" s="17">
        <f>IFERROR(C5/F5-1,0)</f>
        <v>0.29999992695856137</v>
      </c>
      <c r="H5" s="118">
        <f>'68-PLA'!H5</f>
        <v>2936999.24</v>
      </c>
      <c r="I5" s="118">
        <f>'68-PLA'!I5</f>
        <v>2552642.85</v>
      </c>
    </row>
    <row r="6" spans="1:9" x14ac:dyDescent="0.3">
      <c r="A6" s="38" t="str">
        <f>B6</f>
        <v>Tecnologia</v>
      </c>
      <c r="B6" s="61" t="str">
        <f>'68-PLA'!B6</f>
        <v>Tecnologia</v>
      </c>
      <c r="C6" s="40">
        <f>'68-PLA'!C6</f>
        <v>5026018.3653392913</v>
      </c>
      <c r="D6" s="41">
        <f>'68-PLA'!D6</f>
        <v>4427231.2283100989</v>
      </c>
      <c r="E6" s="129">
        <f t="shared" ref="E6:E35" si="0">IFERROR(C6/D6-1,0)</f>
        <v>0.13525092911348868</v>
      </c>
      <c r="F6" s="63">
        <f>'68-PLA'!F6</f>
        <v>4492576.75</v>
      </c>
      <c r="G6" s="130">
        <f t="shared" ref="G6:G35" si="1">IFERROR(C6/F6-1,0)</f>
        <v>0.11873845345865064</v>
      </c>
      <c r="H6" s="147">
        <f>'68-PLA'!H6</f>
        <v>4183620.2200000021</v>
      </c>
      <c r="I6" s="147">
        <f>'68-PLA'!I6</f>
        <v>4107544.6299999994</v>
      </c>
    </row>
    <row r="7" spans="1:9" s="45" customFormat="1" x14ac:dyDescent="0.3">
      <c r="B7" s="46" t="s">
        <v>51</v>
      </c>
      <c r="C7" s="51">
        <f>SUM(C5:C6)</f>
        <v>9048392.3653392904</v>
      </c>
      <c r="D7" s="49">
        <f>SUM(D5:D6)</f>
        <v>7610938.885913793</v>
      </c>
      <c r="E7" s="121">
        <f t="shared" si="0"/>
        <v>0.18886677464798907</v>
      </c>
      <c r="F7" s="28">
        <f>SUM(F5:F6)</f>
        <v>7586710.7699999996</v>
      </c>
      <c r="G7" s="122">
        <f t="shared" si="1"/>
        <v>0.19266341365209194</v>
      </c>
      <c r="H7" s="150">
        <f t="shared" ref="H7:I7" si="2">SUM(H5:H6)</f>
        <v>7120619.4600000028</v>
      </c>
      <c r="I7" s="142">
        <f t="shared" si="2"/>
        <v>6660187.4799999995</v>
      </c>
    </row>
    <row r="8" spans="1:9" x14ac:dyDescent="0.3">
      <c r="B8" s="71"/>
      <c r="C8" s="70"/>
      <c r="D8" s="70"/>
      <c r="E8" s="98"/>
      <c r="F8" s="98"/>
      <c r="G8" s="98"/>
      <c r="H8" s="70"/>
      <c r="I8" s="70"/>
    </row>
    <row r="9" spans="1:9" x14ac:dyDescent="0.3">
      <c r="B9" s="202" t="s">
        <v>52</v>
      </c>
      <c r="C9" s="111"/>
      <c r="D9" s="111"/>
      <c r="E9" s="110"/>
      <c r="F9" s="110"/>
      <c r="G9" s="110"/>
      <c r="H9" s="111"/>
      <c r="I9" s="111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>
        <v>101100</v>
      </c>
      <c r="B11" s="19" t="s">
        <v>300</v>
      </c>
      <c r="C11" s="20">
        <f>C6</f>
        <v>5026018.3653392913</v>
      </c>
      <c r="D11" s="21">
        <f>D6</f>
        <v>4427231.2283100989</v>
      </c>
      <c r="E11" s="16">
        <f t="shared" si="0"/>
        <v>0.13525092911348868</v>
      </c>
      <c r="F11" s="64">
        <f>F6</f>
        <v>4492576.75</v>
      </c>
      <c r="G11" s="22">
        <f>IFERROR(C11/F11-1,0)</f>
        <v>0.11873845345865064</v>
      </c>
      <c r="H11" s="118">
        <f t="shared" ref="H11:I11" si="3">H6</f>
        <v>4183620.2200000021</v>
      </c>
      <c r="I11" s="118">
        <f t="shared" si="3"/>
        <v>4107544.6299999994</v>
      </c>
    </row>
    <row r="12" spans="1:9" x14ac:dyDescent="0.3">
      <c r="B12" s="26" t="s">
        <v>51</v>
      </c>
      <c r="C12" s="27">
        <f>SUM(C11)</f>
        <v>5026018.3653392913</v>
      </c>
      <c r="D12" s="28">
        <f>SUM(D11)</f>
        <v>4427231.2283100989</v>
      </c>
      <c r="E12" s="121">
        <f t="shared" si="0"/>
        <v>0.13525092911348868</v>
      </c>
      <c r="F12" s="28">
        <f>SUM(F11)</f>
        <v>4492576.75</v>
      </c>
      <c r="G12" s="122">
        <f>IFERROR(C12/F12-1,0)</f>
        <v>0.11873845345865064</v>
      </c>
      <c r="H12" s="144">
        <f t="shared" ref="H12:I12" si="4">SUM(H11)</f>
        <v>4183620.2200000021</v>
      </c>
      <c r="I12" s="143">
        <f t="shared" si="4"/>
        <v>4107544.6299999994</v>
      </c>
    </row>
    <row r="13" spans="1:9" x14ac:dyDescent="0.3">
      <c r="B13" s="71"/>
      <c r="C13" s="70"/>
      <c r="D13" s="70"/>
      <c r="E13" s="98"/>
      <c r="F13" s="98"/>
      <c r="G13" s="98"/>
      <c r="H13" s="70"/>
      <c r="I13" s="70"/>
    </row>
    <row r="14" spans="1:9" x14ac:dyDescent="0.3">
      <c r="B14" s="202" t="s">
        <v>56</v>
      </c>
      <c r="C14" s="111"/>
      <c r="D14" s="111"/>
      <c r="E14" s="110"/>
      <c r="F14" s="110"/>
      <c r="G14" s="110"/>
      <c r="H14" s="111"/>
      <c r="I14" s="111"/>
    </row>
    <row r="15" spans="1:9" ht="55.5" customHeight="1" x14ac:dyDescent="0.3">
      <c r="B15" s="203"/>
      <c r="C15" s="10" t="str">
        <f>'23-Despesas '!C$4</f>
        <v>Orçamento 2026</v>
      </c>
      <c r="D15" s="10" t="str">
        <f>'23-Despesas '!D$4</f>
        <v>Projeção 2025</v>
      </c>
      <c r="E15" s="11" t="s">
        <v>6</v>
      </c>
      <c r="F15" s="37" t="str">
        <f>'23-Despesas '!F$4</f>
        <v>Orçamento 2025</v>
      </c>
      <c r="G15" s="12" t="s">
        <v>8</v>
      </c>
      <c r="H15" s="10" t="s">
        <v>382</v>
      </c>
      <c r="I15" s="10" t="s">
        <v>197</v>
      </c>
    </row>
    <row r="16" spans="1:9" x14ac:dyDescent="0.3">
      <c r="B16" s="39" t="s">
        <v>57</v>
      </c>
      <c r="C16" s="53">
        <f>SUM(C17:C20)</f>
        <v>4350344.4253392909</v>
      </c>
      <c r="D16" s="65">
        <f>SUM(D17:D20)</f>
        <v>3976095.4662613561</v>
      </c>
      <c r="E16" s="129">
        <f t="shared" si="0"/>
        <v>9.4124741785899246E-2</v>
      </c>
      <c r="F16" s="66">
        <f>SUM(F17:F20)</f>
        <v>4023104.7900000014</v>
      </c>
      <c r="G16" s="138">
        <f t="shared" si="1"/>
        <v>8.1340072511332462E-2</v>
      </c>
      <c r="H16" s="151">
        <f t="shared" ref="H16:I16" si="5">SUM(H17:H20)</f>
        <v>3848158.27</v>
      </c>
      <c r="I16" s="151">
        <f t="shared" si="5"/>
        <v>3792319.04</v>
      </c>
    </row>
    <row r="17" spans="1:9" x14ac:dyDescent="0.3">
      <c r="A17" s="85" t="s">
        <v>58</v>
      </c>
      <c r="B17" s="19" t="str">
        <f>A17</f>
        <v>Salários e provisões</v>
      </c>
      <c r="C17" s="20">
        <v>2938115.2568757408</v>
      </c>
      <c r="D17" s="21">
        <v>2723093.1784599726</v>
      </c>
      <c r="E17" s="16">
        <f t="shared" si="0"/>
        <v>7.8962438787119504E-2</v>
      </c>
      <c r="F17" s="64">
        <v>2729197.790000001</v>
      </c>
      <c r="G17" s="22">
        <f t="shared" si="1"/>
        <v>7.6549038564090122E-2</v>
      </c>
      <c r="H17" s="118">
        <v>2644566.87</v>
      </c>
      <c r="I17" s="118">
        <v>2627206.4900000002</v>
      </c>
    </row>
    <row r="18" spans="1:9" x14ac:dyDescent="0.3">
      <c r="A18" s="85" t="s">
        <v>59</v>
      </c>
      <c r="B18" s="19" t="str">
        <f>A18</f>
        <v>Encargos sociais</v>
      </c>
      <c r="C18" s="20">
        <v>1043030.9161908886</v>
      </c>
      <c r="D18" s="21">
        <v>961487.74531437363</v>
      </c>
      <c r="E18" s="16">
        <f t="shared" si="0"/>
        <v>8.4809370971081099E-2</v>
      </c>
      <c r="F18" s="64">
        <v>966030.37</v>
      </c>
      <c r="G18" s="24">
        <f t="shared" si="1"/>
        <v>7.9708204402402671E-2</v>
      </c>
      <c r="H18" s="118">
        <v>926043.35999999987</v>
      </c>
      <c r="I18" s="118">
        <v>922875.73999999987</v>
      </c>
    </row>
    <row r="19" spans="1:9" x14ac:dyDescent="0.3">
      <c r="A19" s="85" t="s">
        <v>60</v>
      </c>
      <c r="B19" s="19" t="str">
        <f>A19</f>
        <v>Benefícios</v>
      </c>
      <c r="C19" s="20">
        <v>351008.8922726608</v>
      </c>
      <c r="D19" s="21">
        <v>285532.94683072809</v>
      </c>
      <c r="E19" s="16">
        <f t="shared" si="0"/>
        <v>0.22931134977130574</v>
      </c>
      <c r="F19" s="64">
        <v>310553.43000000005</v>
      </c>
      <c r="G19" s="24">
        <f t="shared" si="1"/>
        <v>0.13026892754866926</v>
      </c>
      <c r="H19" s="118">
        <v>277548.0400000001</v>
      </c>
      <c r="I19" s="118">
        <v>242236.81</v>
      </c>
    </row>
    <row r="20" spans="1:9" x14ac:dyDescent="0.3">
      <c r="A20" s="85" t="s">
        <v>61</v>
      </c>
      <c r="B20" s="19" t="str">
        <f>A20</f>
        <v>Outros</v>
      </c>
      <c r="C20" s="20">
        <v>18189.36</v>
      </c>
      <c r="D20" s="21">
        <v>5981.5956562816555</v>
      </c>
      <c r="E20" s="16">
        <f t="shared" si="0"/>
        <v>2.0408875900694143</v>
      </c>
      <c r="F20" s="64">
        <v>17323.2</v>
      </c>
      <c r="G20" s="24">
        <f t="shared" si="1"/>
        <v>5.0000000000000044E-2</v>
      </c>
      <c r="H20" s="118">
        <v>0</v>
      </c>
      <c r="I20" s="118">
        <v>0</v>
      </c>
    </row>
    <row r="21" spans="1:9" x14ac:dyDescent="0.3">
      <c r="B21" s="39" t="s">
        <v>62</v>
      </c>
      <c r="C21" s="53">
        <f>SUM(C22:C22)</f>
        <v>611051.93999999994</v>
      </c>
      <c r="D21" s="65">
        <f>SUM(D22:D22)</f>
        <v>374828.62196638191</v>
      </c>
      <c r="E21" s="131">
        <f t="shared" si="0"/>
        <v>0.63021686229394924</v>
      </c>
      <c r="F21" s="66">
        <f>SUM(F22:F22)</f>
        <v>424111.92000000004</v>
      </c>
      <c r="G21" s="137">
        <f t="shared" si="1"/>
        <v>0.4407799243180901</v>
      </c>
      <c r="H21" s="151">
        <f t="shared" ref="H21:I21" si="6">SUM(H22:H22)</f>
        <v>282331.74</v>
      </c>
      <c r="I21" s="151">
        <f t="shared" si="6"/>
        <v>269907.94</v>
      </c>
    </row>
    <row r="22" spans="1:9" x14ac:dyDescent="0.3">
      <c r="A22" s="85" t="s">
        <v>63</v>
      </c>
      <c r="B22" s="19" t="str">
        <f>A22</f>
        <v>Serviços contratados</v>
      </c>
      <c r="C22" s="20">
        <v>611051.93999999994</v>
      </c>
      <c r="D22" s="21">
        <v>374828.62196638191</v>
      </c>
      <c r="E22" s="124">
        <f t="shared" si="0"/>
        <v>0.63021686229394924</v>
      </c>
      <c r="F22" s="64">
        <v>424111.92000000004</v>
      </c>
      <c r="G22" s="135">
        <f t="shared" si="1"/>
        <v>0.4407799243180901</v>
      </c>
      <c r="H22" s="118">
        <v>282331.74</v>
      </c>
      <c r="I22" s="118">
        <v>269907.94</v>
      </c>
    </row>
    <row r="23" spans="1:9" x14ac:dyDescent="0.3">
      <c r="B23" s="39" t="s">
        <v>64</v>
      </c>
      <c r="C23" s="53">
        <f>SUM(C24:C26)</f>
        <v>61622.000000000007</v>
      </c>
      <c r="D23" s="65">
        <f>SUM(D24:D26)</f>
        <v>55908.629466267535</v>
      </c>
      <c r="E23" s="131">
        <f t="shared" si="0"/>
        <v>0.10219121069994452</v>
      </c>
      <c r="F23" s="66">
        <f>SUM(F24:F26)</f>
        <v>44480.040000000015</v>
      </c>
      <c r="G23" s="137">
        <f t="shared" si="1"/>
        <v>0.38538544479726156</v>
      </c>
      <c r="H23" s="151">
        <f t="shared" ref="H23:I23" si="7">SUM(H24:H26)</f>
        <v>45717.259999999995</v>
      </c>
      <c r="I23" s="151">
        <f t="shared" si="7"/>
        <v>43185.669999999991</v>
      </c>
    </row>
    <row r="24" spans="1:9" x14ac:dyDescent="0.3">
      <c r="A24" s="85" t="s">
        <v>65</v>
      </c>
      <c r="B24" s="19" t="str">
        <f>A24</f>
        <v>Material de consumo geral</v>
      </c>
      <c r="C24" s="20">
        <v>44947.000000000007</v>
      </c>
      <c r="D24" s="21">
        <v>32174.341410585166</v>
      </c>
      <c r="E24" s="127">
        <f t="shared" si="0"/>
        <v>0.39698275176543985</v>
      </c>
      <c r="F24" s="64">
        <v>43300.040000000015</v>
      </c>
      <c r="G24" s="136">
        <f t="shared" si="1"/>
        <v>3.8035992576450184E-2</v>
      </c>
      <c r="H24" s="118">
        <v>44947.95</v>
      </c>
      <c r="I24" s="118">
        <v>41945.289999999994</v>
      </c>
    </row>
    <row r="25" spans="1:9" x14ac:dyDescent="0.3">
      <c r="A25" s="85" t="s">
        <v>67</v>
      </c>
      <c r="B25" s="19" t="str">
        <f>A25</f>
        <v>Mercadoria de uso geral</v>
      </c>
      <c r="C25" s="20">
        <v>12600</v>
      </c>
      <c r="D25" s="21">
        <v>502.67805568236588</v>
      </c>
      <c r="E25" s="127">
        <f t="shared" si="0"/>
        <v>24.065745077922671</v>
      </c>
      <c r="F25" s="64">
        <v>480</v>
      </c>
      <c r="G25" s="136">
        <f t="shared" si="1"/>
        <v>25.25</v>
      </c>
      <c r="H25" s="118">
        <v>120.85</v>
      </c>
      <c r="I25" s="118">
        <v>325.60000000000002</v>
      </c>
    </row>
    <row r="26" spans="1:9" x14ac:dyDescent="0.3">
      <c r="A26" s="85" t="s">
        <v>66</v>
      </c>
      <c r="B26" s="19" t="str">
        <f>A26</f>
        <v>Mercadoria de revenda e consumo</v>
      </c>
      <c r="C26" s="20">
        <v>4075</v>
      </c>
      <c r="D26" s="21">
        <v>23231.61</v>
      </c>
      <c r="E26" s="124">
        <f t="shared" si="0"/>
        <v>-0.82459244107489749</v>
      </c>
      <c r="F26" s="64">
        <v>700</v>
      </c>
      <c r="G26" s="135">
        <f t="shared" si="1"/>
        <v>4.8214285714285712</v>
      </c>
      <c r="H26" s="118">
        <v>648.45999999999992</v>
      </c>
      <c r="I26" s="118">
        <v>914.77999999999986</v>
      </c>
    </row>
    <row r="27" spans="1:9" hidden="1" x14ac:dyDescent="0.3">
      <c r="A27" s="85" t="s">
        <v>83</v>
      </c>
      <c r="B27" s="39" t="str">
        <f>A27</f>
        <v>Tributários fiscais e taxas</v>
      </c>
      <c r="C27" s="53">
        <f>SUM(C28)</f>
        <v>0</v>
      </c>
      <c r="D27" s="65">
        <f>SUM(D28)</f>
        <v>0</v>
      </c>
      <c r="E27" s="16">
        <f t="shared" si="0"/>
        <v>0</v>
      </c>
      <c r="F27" s="66">
        <f>SUM(F28)</f>
        <v>0</v>
      </c>
      <c r="G27" s="24">
        <f t="shared" si="1"/>
        <v>0</v>
      </c>
      <c r="H27" s="151">
        <f t="shared" ref="H27:I27" si="8">SUM(H28)</f>
        <v>0</v>
      </c>
      <c r="I27" s="151">
        <f t="shared" si="8"/>
        <v>0</v>
      </c>
    </row>
    <row r="28" spans="1:9" hidden="1" x14ac:dyDescent="0.3">
      <c r="A28" s="78" t="s">
        <v>83</v>
      </c>
      <c r="B28" s="19" t="str">
        <f>A28</f>
        <v>Tributários fiscais e taxas</v>
      </c>
      <c r="C28" s="20">
        <v>0</v>
      </c>
      <c r="D28" s="21">
        <v>0</v>
      </c>
      <c r="E28" s="16">
        <f t="shared" si="0"/>
        <v>0</v>
      </c>
      <c r="F28" s="64">
        <v>0</v>
      </c>
      <c r="G28" s="24">
        <f t="shared" si="1"/>
        <v>0</v>
      </c>
      <c r="H28" s="118">
        <v>0</v>
      </c>
      <c r="I28" s="118">
        <v>0</v>
      </c>
    </row>
    <row r="29" spans="1:9" hidden="1" x14ac:dyDescent="0.3">
      <c r="B29" s="39" t="s">
        <v>69</v>
      </c>
      <c r="C29" s="40">
        <f>SUM(C30)</f>
        <v>0</v>
      </c>
      <c r="D29" s="62">
        <f>SUM(D30)</f>
        <v>0</v>
      </c>
      <c r="E29" s="16">
        <f t="shared" si="0"/>
        <v>0</v>
      </c>
      <c r="F29" s="63">
        <f>SUM(F30)</f>
        <v>0</v>
      </c>
      <c r="G29" s="24">
        <f t="shared" si="1"/>
        <v>0</v>
      </c>
      <c r="H29" s="147">
        <f t="shared" ref="H29:I29" si="9">SUM(H30)</f>
        <v>0</v>
      </c>
      <c r="I29" s="147">
        <f t="shared" si="9"/>
        <v>0</v>
      </c>
    </row>
    <row r="30" spans="1:9" hidden="1" x14ac:dyDescent="0.3">
      <c r="B30" s="19" t="s">
        <v>70</v>
      </c>
      <c r="C30" s="20"/>
      <c r="D30" s="21"/>
      <c r="E30" s="16">
        <f t="shared" si="0"/>
        <v>0</v>
      </c>
      <c r="F30" s="64"/>
      <c r="G30" s="24">
        <f t="shared" si="1"/>
        <v>0</v>
      </c>
      <c r="H30" s="118"/>
      <c r="I30" s="118"/>
    </row>
    <row r="31" spans="1:9" x14ac:dyDescent="0.3">
      <c r="B31" s="39" t="s">
        <v>71</v>
      </c>
      <c r="C31" s="53">
        <f>SUM(C32:C34)</f>
        <v>3000</v>
      </c>
      <c r="D31" s="65">
        <f>SUM(D32:D34)</f>
        <v>20398.510616090523</v>
      </c>
      <c r="E31" s="129">
        <f t="shared" si="0"/>
        <v>-0.8529304390667829</v>
      </c>
      <c r="F31" s="66">
        <f>SUM(F32:F34)</f>
        <v>880</v>
      </c>
      <c r="G31" s="138">
        <f t="shared" si="1"/>
        <v>2.4090909090909092</v>
      </c>
      <c r="H31" s="151">
        <f t="shared" ref="H31:I31" si="10">SUM(H32:H34)</f>
        <v>7412.9500000000007</v>
      </c>
      <c r="I31" s="151">
        <f t="shared" si="10"/>
        <v>2131.98</v>
      </c>
    </row>
    <row r="32" spans="1:9" x14ac:dyDescent="0.3">
      <c r="A32" s="78" t="s">
        <v>72</v>
      </c>
      <c r="B32" s="19" t="str">
        <f>A32</f>
        <v>Locomoções gerais - viagens - estadias</v>
      </c>
      <c r="C32" s="20">
        <v>3000</v>
      </c>
      <c r="D32" s="21">
        <v>691.65061609052134</v>
      </c>
      <c r="E32" s="16">
        <f t="shared" si="0"/>
        <v>3.3374500509479317</v>
      </c>
      <c r="F32" s="64">
        <v>880</v>
      </c>
      <c r="G32" s="24">
        <f t="shared" si="1"/>
        <v>2.4090909090909092</v>
      </c>
      <c r="H32" s="118">
        <v>933.61</v>
      </c>
      <c r="I32" s="118">
        <v>1236.47</v>
      </c>
    </row>
    <row r="33" spans="1:9" x14ac:dyDescent="0.3">
      <c r="A33" s="78" t="s">
        <v>73</v>
      </c>
      <c r="B33" s="19" t="str">
        <f>A33</f>
        <v>Outros gastos gerais</v>
      </c>
      <c r="C33" s="20">
        <v>0</v>
      </c>
      <c r="D33" s="21">
        <v>19706.86</v>
      </c>
      <c r="E33" s="16">
        <f t="shared" si="0"/>
        <v>-1</v>
      </c>
      <c r="F33" s="64">
        <v>0</v>
      </c>
      <c r="G33" s="24">
        <f t="shared" si="1"/>
        <v>0</v>
      </c>
      <c r="H33" s="118">
        <v>3899.97</v>
      </c>
      <c r="I33" s="118">
        <v>0</v>
      </c>
    </row>
    <row r="34" spans="1:9" x14ac:dyDescent="0.3">
      <c r="A34" s="78" t="s">
        <v>82</v>
      </c>
      <c r="B34" s="19" t="str">
        <f>A34</f>
        <v>Despesas financeiras</v>
      </c>
      <c r="C34" s="20">
        <v>0</v>
      </c>
      <c r="D34" s="21">
        <v>0</v>
      </c>
      <c r="E34" s="16">
        <f t="shared" si="0"/>
        <v>0</v>
      </c>
      <c r="F34" s="64">
        <v>0</v>
      </c>
      <c r="G34" s="24">
        <f t="shared" si="1"/>
        <v>0</v>
      </c>
      <c r="H34" s="118">
        <v>2579.3700000000003</v>
      </c>
      <c r="I34" s="118">
        <v>895.51</v>
      </c>
    </row>
    <row r="35" spans="1:9" x14ac:dyDescent="0.3">
      <c r="B35" s="26" t="s">
        <v>51</v>
      </c>
      <c r="C35" s="51">
        <f>SUM(C31+C29+C23+C21+C16+C27)</f>
        <v>5026018.3653392904</v>
      </c>
      <c r="D35" s="28">
        <f>SUM(D31+D29+D23+D21+D16+D27)</f>
        <v>4427231.2283100961</v>
      </c>
      <c r="E35" s="121">
        <f t="shared" si="0"/>
        <v>0.13525092911348913</v>
      </c>
      <c r="F35" s="28">
        <f>SUM(F31+F29+F23+F21+F16+F27)</f>
        <v>4492576.7500000019</v>
      </c>
      <c r="G35" s="120">
        <f t="shared" si="1"/>
        <v>0.11873845345864997</v>
      </c>
      <c r="H35" s="150">
        <f t="shared" ref="H35:I35" si="11">SUM(H31+H29+H23+H21+H16+H27)</f>
        <v>4183620.2199999997</v>
      </c>
      <c r="I35" s="142">
        <f t="shared" si="11"/>
        <v>4107544.63</v>
      </c>
    </row>
    <row r="36" spans="1:9" x14ac:dyDescent="0.3">
      <c r="B36" s="7"/>
      <c r="C36" s="7"/>
      <c r="D36" s="7"/>
      <c r="E36" s="7"/>
      <c r="F36" s="7"/>
      <c r="G36" s="7"/>
      <c r="H36" s="7"/>
      <c r="I36" s="7"/>
    </row>
    <row r="37" spans="1:9" x14ac:dyDescent="0.3">
      <c r="B37" s="7"/>
      <c r="C37" s="7"/>
      <c r="D37" s="7"/>
      <c r="E37" s="7"/>
      <c r="F37" s="7"/>
      <c r="G37" s="7"/>
      <c r="H37" s="7"/>
      <c r="I37" s="7"/>
    </row>
    <row r="38" spans="1:9" x14ac:dyDescent="0.3">
      <c r="B38" s="7"/>
      <c r="C38" s="7"/>
      <c r="D38" s="7"/>
      <c r="E38" s="7"/>
      <c r="F38" s="7"/>
      <c r="G38" s="7"/>
      <c r="H38" s="7"/>
      <c r="I38" s="7"/>
    </row>
    <row r="39" spans="1:9" x14ac:dyDescent="0.3">
      <c r="B39" s="7"/>
      <c r="C39" s="7"/>
      <c r="D39" s="7"/>
      <c r="E39" s="7"/>
      <c r="F39" s="7"/>
      <c r="G39" s="7"/>
      <c r="H39" s="7"/>
      <c r="I39" s="7"/>
    </row>
    <row r="40" spans="1:9" x14ac:dyDescent="0.3">
      <c r="B40" s="7"/>
      <c r="C40" s="7"/>
      <c r="D40" s="7"/>
      <c r="E40" s="7"/>
      <c r="F40" s="7"/>
      <c r="G40" s="7"/>
      <c r="H40" s="7"/>
      <c r="I40" s="7"/>
    </row>
    <row r="41" spans="1:9" x14ac:dyDescent="0.3">
      <c r="B41" s="7"/>
      <c r="C41" s="7"/>
      <c r="D41" s="7"/>
      <c r="E41" s="7"/>
      <c r="F41" s="7"/>
      <c r="G41" s="7"/>
      <c r="H41" s="7"/>
      <c r="I41" s="7"/>
    </row>
    <row r="42" spans="1:9" x14ac:dyDescent="0.3">
      <c r="B42" s="7"/>
      <c r="C42" s="7"/>
      <c r="D42" s="7"/>
      <c r="E42" s="7"/>
      <c r="F42" s="7"/>
      <c r="G42" s="7"/>
      <c r="H42" s="7"/>
      <c r="I42" s="7"/>
    </row>
    <row r="43" spans="1:9" x14ac:dyDescent="0.3">
      <c r="B43" s="7"/>
      <c r="C43" s="7"/>
      <c r="D43" s="7"/>
      <c r="E43" s="7"/>
      <c r="F43" s="7"/>
      <c r="G43" s="7"/>
      <c r="H43" s="7"/>
      <c r="I43" s="7"/>
    </row>
    <row r="44" spans="1:9" x14ac:dyDescent="0.3">
      <c r="B44" s="7"/>
      <c r="C44" s="7"/>
      <c r="D44" s="7"/>
      <c r="E44" s="7"/>
      <c r="F44" s="7"/>
      <c r="G44" s="7"/>
      <c r="H44" s="7"/>
      <c r="I44" s="7"/>
    </row>
    <row r="45" spans="1:9" x14ac:dyDescent="0.3">
      <c r="B45" s="7"/>
      <c r="C45" s="7"/>
      <c r="D45" s="7"/>
      <c r="E45" s="7"/>
      <c r="F45" s="7"/>
      <c r="G45" s="7"/>
      <c r="H45" s="7"/>
      <c r="I45" s="7"/>
    </row>
    <row r="46" spans="1:9" x14ac:dyDescent="0.3">
      <c r="B46" s="7"/>
      <c r="C46" s="7"/>
      <c r="D46" s="7"/>
      <c r="E46" s="7"/>
      <c r="F46" s="7"/>
      <c r="G46" s="7"/>
      <c r="H46" s="7"/>
      <c r="I46" s="7"/>
    </row>
    <row r="47" spans="1:9" x14ac:dyDescent="0.3">
      <c r="B47" s="7"/>
      <c r="C47" s="7"/>
      <c r="D47" s="7"/>
      <c r="E47" s="7"/>
      <c r="F47" s="7"/>
      <c r="G47" s="7"/>
      <c r="H47" s="7"/>
      <c r="I47" s="7"/>
    </row>
    <row r="48" spans="1:9" x14ac:dyDescent="0.3">
      <c r="B48" s="7"/>
      <c r="C48" s="7"/>
      <c r="D48" s="7"/>
      <c r="E48" s="7"/>
      <c r="F48" s="7"/>
      <c r="G48" s="7"/>
      <c r="H48" s="7"/>
      <c r="I48" s="7"/>
    </row>
    <row r="49" spans="2:9" x14ac:dyDescent="0.3">
      <c r="B49" s="7"/>
      <c r="C49" s="7"/>
      <c r="D49" s="7"/>
      <c r="E49" s="7"/>
      <c r="F49" s="7"/>
      <c r="G49" s="7"/>
      <c r="H49" s="7"/>
      <c r="I49" s="7"/>
    </row>
    <row r="50" spans="2:9" x14ac:dyDescent="0.3">
      <c r="B50" s="7"/>
      <c r="C50" s="7"/>
      <c r="D50" s="7"/>
      <c r="E50" s="7"/>
      <c r="F50" s="7"/>
      <c r="G50" s="7"/>
      <c r="H50" s="7"/>
      <c r="I50" s="7"/>
    </row>
    <row r="51" spans="2:9" x14ac:dyDescent="0.3">
      <c r="B51" s="7"/>
      <c r="C51" s="7"/>
      <c r="D51" s="7"/>
      <c r="E51" s="7"/>
      <c r="F51" s="7"/>
      <c r="G51" s="7"/>
      <c r="H51" s="7"/>
      <c r="I51" s="7"/>
    </row>
    <row r="52" spans="2:9" x14ac:dyDescent="0.3">
      <c r="B52" s="7"/>
      <c r="C52" s="7"/>
      <c r="D52" s="7"/>
      <c r="E52" s="7"/>
      <c r="F52" s="7"/>
      <c r="G52" s="7"/>
      <c r="H52" s="7"/>
      <c r="I52" s="7"/>
    </row>
    <row r="53" spans="2:9" x14ac:dyDescent="0.3">
      <c r="B53" s="7"/>
      <c r="C53" s="7"/>
      <c r="D53" s="7"/>
      <c r="E53" s="7"/>
      <c r="F53" s="7"/>
      <c r="G53" s="7"/>
      <c r="H53" s="7"/>
      <c r="I53" s="7"/>
    </row>
    <row r="54" spans="2:9" x14ac:dyDescent="0.3">
      <c r="B54" s="7"/>
      <c r="C54" s="7"/>
      <c r="D54" s="7"/>
      <c r="E54" s="7"/>
      <c r="F54" s="7"/>
      <c r="G54" s="7"/>
      <c r="H54" s="7"/>
      <c r="I54" s="7"/>
    </row>
    <row r="55" spans="2:9" x14ac:dyDescent="0.3">
      <c r="C55"/>
      <c r="D55"/>
      <c r="E55"/>
      <c r="F55"/>
      <c r="G55"/>
      <c r="H55"/>
      <c r="I55"/>
    </row>
    <row r="56" spans="2:9" x14ac:dyDescent="0.3">
      <c r="C56"/>
      <c r="D56"/>
      <c r="E56"/>
      <c r="F56"/>
      <c r="G56"/>
      <c r="H56"/>
      <c r="I56"/>
    </row>
    <row r="57" spans="2:9" x14ac:dyDescent="0.3">
      <c r="C57"/>
      <c r="D57"/>
      <c r="E57"/>
      <c r="F57"/>
      <c r="G57"/>
      <c r="H57"/>
      <c r="I57"/>
    </row>
    <row r="58" spans="2:9" x14ac:dyDescent="0.3">
      <c r="C58"/>
      <c r="D58"/>
      <c r="E58"/>
      <c r="F58"/>
      <c r="G58"/>
      <c r="H58"/>
      <c r="I58"/>
    </row>
    <row r="59" spans="2:9" x14ac:dyDescent="0.3">
      <c r="C59"/>
      <c r="D59"/>
      <c r="E59"/>
      <c r="F59"/>
      <c r="G59"/>
      <c r="H59"/>
      <c r="I59"/>
    </row>
    <row r="60" spans="2:9" x14ac:dyDescent="0.3">
      <c r="C60"/>
      <c r="D60"/>
      <c r="E60"/>
      <c r="F60"/>
      <c r="G60"/>
      <c r="H60"/>
      <c r="I60"/>
    </row>
    <row r="61" spans="2:9" x14ac:dyDescent="0.3">
      <c r="C61"/>
      <c r="D61"/>
      <c r="E61"/>
      <c r="F61"/>
      <c r="G61"/>
      <c r="H61"/>
      <c r="I61"/>
    </row>
    <row r="62" spans="2:9" x14ac:dyDescent="0.3">
      <c r="C62"/>
      <c r="D62"/>
      <c r="E62"/>
      <c r="F62"/>
      <c r="G62"/>
      <c r="H62"/>
      <c r="I62"/>
    </row>
    <row r="63" spans="2:9" x14ac:dyDescent="0.3">
      <c r="C63"/>
      <c r="D63"/>
      <c r="E63"/>
      <c r="F63"/>
      <c r="G63"/>
      <c r="H63"/>
      <c r="I63"/>
    </row>
    <row r="64" spans="2:9" x14ac:dyDescent="0.3">
      <c r="C64"/>
      <c r="D64"/>
      <c r="E64"/>
      <c r="F64"/>
      <c r="G64"/>
      <c r="H64"/>
      <c r="I64"/>
    </row>
    <row r="65" spans="3:9" x14ac:dyDescent="0.3">
      <c r="C65"/>
      <c r="D65"/>
      <c r="E65"/>
      <c r="F65"/>
      <c r="G65"/>
      <c r="H65"/>
      <c r="I65"/>
    </row>
    <row r="66" spans="3:9" x14ac:dyDescent="0.3">
      <c r="C66"/>
      <c r="D66"/>
      <c r="E66"/>
      <c r="F66"/>
      <c r="G66"/>
      <c r="H66"/>
      <c r="I66"/>
    </row>
    <row r="67" spans="3:9" x14ac:dyDescent="0.3">
      <c r="C67"/>
      <c r="D67"/>
      <c r="E67"/>
      <c r="F67"/>
      <c r="G67"/>
      <c r="H67"/>
      <c r="I67"/>
    </row>
    <row r="68" spans="3:9" x14ac:dyDescent="0.3">
      <c r="C68"/>
      <c r="D68"/>
      <c r="E68"/>
      <c r="F68"/>
      <c r="G68"/>
      <c r="H68"/>
      <c r="I68"/>
    </row>
    <row r="69" spans="3:9" x14ac:dyDescent="0.3">
      <c r="C69"/>
      <c r="D69"/>
      <c r="E69"/>
      <c r="F69"/>
      <c r="G69"/>
      <c r="H69"/>
      <c r="I69"/>
    </row>
    <row r="70" spans="3:9" x14ac:dyDescent="0.3">
      <c r="C70"/>
      <c r="D70"/>
      <c r="E70"/>
      <c r="F70"/>
      <c r="G70"/>
      <c r="H70"/>
      <c r="I70"/>
    </row>
    <row r="71" spans="3:9" x14ac:dyDescent="0.3">
      <c r="C71"/>
      <c r="D71"/>
      <c r="E71"/>
      <c r="F71"/>
      <c r="G71"/>
      <c r="H71"/>
      <c r="I71"/>
    </row>
    <row r="72" spans="3:9" x14ac:dyDescent="0.3">
      <c r="C72"/>
      <c r="D72"/>
      <c r="E72"/>
      <c r="F72"/>
      <c r="G72"/>
      <c r="H72"/>
      <c r="I72"/>
    </row>
    <row r="73" spans="3:9" x14ac:dyDescent="0.3">
      <c r="C73"/>
      <c r="D73"/>
      <c r="E73"/>
      <c r="F73"/>
      <c r="G73"/>
      <c r="H73"/>
      <c r="I73"/>
    </row>
    <row r="74" spans="3:9" x14ac:dyDescent="0.3">
      <c r="C74"/>
      <c r="D74"/>
      <c r="E74"/>
      <c r="F74"/>
      <c r="G74"/>
      <c r="H74"/>
      <c r="I74"/>
    </row>
    <row r="75" spans="3:9" x14ac:dyDescent="0.3">
      <c r="C75"/>
      <c r="D75"/>
      <c r="E75"/>
      <c r="F75"/>
      <c r="G75"/>
      <c r="H75"/>
      <c r="I75"/>
    </row>
    <row r="76" spans="3:9" x14ac:dyDescent="0.3">
      <c r="C76"/>
      <c r="D76"/>
      <c r="E76"/>
      <c r="F76"/>
      <c r="G76"/>
      <c r="H76"/>
      <c r="I76"/>
    </row>
    <row r="77" spans="3:9" x14ac:dyDescent="0.3">
      <c r="C77"/>
      <c r="D77"/>
      <c r="E77"/>
      <c r="F77"/>
      <c r="G77"/>
      <c r="H77"/>
      <c r="I77"/>
    </row>
    <row r="78" spans="3:9" x14ac:dyDescent="0.3">
      <c r="C78"/>
      <c r="D78"/>
      <c r="E78"/>
      <c r="F78"/>
      <c r="G78"/>
      <c r="H78"/>
      <c r="I78"/>
    </row>
    <row r="79" spans="3:9" x14ac:dyDescent="0.3">
      <c r="C79"/>
      <c r="D79"/>
      <c r="E79"/>
      <c r="F79"/>
      <c r="G79"/>
      <c r="H79"/>
      <c r="I79"/>
    </row>
    <row r="80" spans="3:9" x14ac:dyDescent="0.3">
      <c r="C80"/>
      <c r="D80"/>
      <c r="E80"/>
      <c r="F80"/>
      <c r="G80"/>
      <c r="H80"/>
      <c r="I80"/>
    </row>
    <row r="81" spans="3:9" x14ac:dyDescent="0.3">
      <c r="C81"/>
      <c r="D81"/>
      <c r="E81"/>
      <c r="F81"/>
      <c r="G81"/>
      <c r="H81"/>
      <c r="I81"/>
    </row>
    <row r="82" spans="3:9" x14ac:dyDescent="0.3">
      <c r="C82"/>
      <c r="D82"/>
      <c r="E82"/>
      <c r="F82"/>
      <c r="G82"/>
      <c r="H82"/>
      <c r="I82"/>
    </row>
    <row r="83" spans="3:9" x14ac:dyDescent="0.3">
      <c r="C83"/>
      <c r="D83"/>
      <c r="E83"/>
      <c r="F83"/>
      <c r="G83"/>
      <c r="H83"/>
      <c r="I83"/>
    </row>
    <row r="84" spans="3:9" x14ac:dyDescent="0.3">
      <c r="C84"/>
      <c r="D84"/>
      <c r="E84"/>
      <c r="F84"/>
      <c r="G84"/>
      <c r="H84"/>
      <c r="I84"/>
    </row>
    <row r="85" spans="3:9" x14ac:dyDescent="0.3">
      <c r="C85"/>
      <c r="D85"/>
      <c r="E85"/>
      <c r="F85"/>
      <c r="G85"/>
      <c r="H85"/>
      <c r="I85"/>
    </row>
    <row r="86" spans="3:9" x14ac:dyDescent="0.3">
      <c r="C86"/>
      <c r="D86"/>
      <c r="E86"/>
      <c r="F86"/>
      <c r="G86"/>
      <c r="H86"/>
      <c r="I86"/>
    </row>
    <row r="87" spans="3:9" x14ac:dyDescent="0.3">
      <c r="C87"/>
      <c r="D87"/>
      <c r="E87"/>
      <c r="F87"/>
      <c r="G87"/>
      <c r="H87"/>
      <c r="I87"/>
    </row>
    <row r="88" spans="3:9" x14ac:dyDescent="0.3">
      <c r="C88"/>
      <c r="D88"/>
      <c r="E88"/>
      <c r="F88"/>
      <c r="G88"/>
      <c r="H88"/>
      <c r="I88"/>
    </row>
    <row r="89" spans="3:9" x14ac:dyDescent="0.3">
      <c r="C89"/>
      <c r="D89"/>
      <c r="E89"/>
      <c r="F89"/>
      <c r="G89"/>
      <c r="H89"/>
      <c r="I89"/>
    </row>
    <row r="90" spans="3:9" x14ac:dyDescent="0.3">
      <c r="C90"/>
      <c r="D90"/>
      <c r="E90"/>
      <c r="F90"/>
      <c r="G90"/>
      <c r="H90"/>
      <c r="I90"/>
    </row>
    <row r="91" spans="3:9" x14ac:dyDescent="0.3">
      <c r="C91"/>
      <c r="D91"/>
      <c r="E91"/>
      <c r="F91"/>
      <c r="G91"/>
      <c r="H91"/>
      <c r="I91"/>
    </row>
    <row r="92" spans="3:9" x14ac:dyDescent="0.3">
      <c r="C92"/>
      <c r="D92"/>
      <c r="E92"/>
      <c r="F92"/>
      <c r="G92"/>
      <c r="H92"/>
      <c r="I92"/>
    </row>
    <row r="93" spans="3:9" x14ac:dyDescent="0.3">
      <c r="C93"/>
      <c r="D93"/>
      <c r="E93"/>
      <c r="F93"/>
      <c r="G93"/>
      <c r="H93"/>
      <c r="I93"/>
    </row>
    <row r="94" spans="3:9" x14ac:dyDescent="0.3">
      <c r="C94"/>
      <c r="D94"/>
      <c r="E94"/>
      <c r="F94"/>
      <c r="G94"/>
      <c r="H94"/>
      <c r="I94"/>
    </row>
    <row r="95" spans="3:9" x14ac:dyDescent="0.3">
      <c r="C95"/>
      <c r="D95"/>
      <c r="E95"/>
      <c r="F95"/>
      <c r="G95"/>
      <c r="H95"/>
      <c r="I95"/>
    </row>
    <row r="96" spans="3:9" x14ac:dyDescent="0.3">
      <c r="C96"/>
      <c r="D96"/>
      <c r="E96"/>
      <c r="F96"/>
      <c r="G96"/>
      <c r="H96"/>
      <c r="I96"/>
    </row>
    <row r="97" spans="3:9" x14ac:dyDescent="0.3">
      <c r="C97"/>
      <c r="D97"/>
      <c r="E97"/>
      <c r="F97"/>
      <c r="G97"/>
      <c r="H97"/>
      <c r="I97"/>
    </row>
    <row r="98" spans="3:9" x14ac:dyDescent="0.3">
      <c r="C98"/>
      <c r="D98"/>
      <c r="E98"/>
      <c r="F98"/>
      <c r="G98"/>
      <c r="H98"/>
      <c r="I98"/>
    </row>
    <row r="99" spans="3:9" x14ac:dyDescent="0.3">
      <c r="C99"/>
      <c r="D99"/>
      <c r="E99"/>
      <c r="F99"/>
      <c r="G99"/>
      <c r="H99"/>
      <c r="I99"/>
    </row>
    <row r="100" spans="3:9" x14ac:dyDescent="0.3">
      <c r="C100"/>
      <c r="D100"/>
      <c r="E100"/>
      <c r="F100"/>
      <c r="G100"/>
      <c r="H100"/>
      <c r="I100"/>
    </row>
    <row r="101" spans="3:9" x14ac:dyDescent="0.3">
      <c r="C101"/>
      <c r="D101"/>
      <c r="E101"/>
      <c r="F101"/>
      <c r="G101"/>
      <c r="H101"/>
      <c r="I101"/>
    </row>
    <row r="102" spans="3:9" x14ac:dyDescent="0.3">
      <c r="C102"/>
      <c r="D102"/>
      <c r="E102"/>
      <c r="F102"/>
      <c r="G102"/>
      <c r="H102"/>
      <c r="I102"/>
    </row>
    <row r="103" spans="3:9" x14ac:dyDescent="0.3">
      <c r="C103"/>
      <c r="D103"/>
      <c r="E103"/>
      <c r="F103"/>
      <c r="G103"/>
      <c r="H103"/>
      <c r="I103"/>
    </row>
    <row r="104" spans="3:9" x14ac:dyDescent="0.3">
      <c r="C104"/>
      <c r="D104"/>
      <c r="E104"/>
      <c r="F104"/>
      <c r="G104"/>
      <c r="H104"/>
      <c r="I104"/>
    </row>
    <row r="105" spans="3:9" x14ac:dyDescent="0.3">
      <c r="C105"/>
      <c r="D105"/>
      <c r="E105"/>
      <c r="F105"/>
      <c r="G105"/>
      <c r="H105"/>
      <c r="I105"/>
    </row>
    <row r="106" spans="3:9" x14ac:dyDescent="0.3">
      <c r="C106"/>
      <c r="D106"/>
      <c r="E106"/>
      <c r="F106"/>
      <c r="G106"/>
      <c r="H106"/>
      <c r="I106"/>
    </row>
    <row r="107" spans="3:9" x14ac:dyDescent="0.3">
      <c r="C107"/>
      <c r="D107"/>
      <c r="E107"/>
      <c r="F107"/>
      <c r="G107"/>
      <c r="H107"/>
      <c r="I107"/>
    </row>
    <row r="108" spans="3:9" x14ac:dyDescent="0.3">
      <c r="C108"/>
      <c r="D108"/>
      <c r="E108"/>
      <c r="F108"/>
      <c r="G108"/>
      <c r="H108"/>
      <c r="I108"/>
    </row>
    <row r="109" spans="3:9" x14ac:dyDescent="0.3">
      <c r="C109"/>
      <c r="D109"/>
      <c r="E109"/>
      <c r="F109"/>
      <c r="G109"/>
      <c r="H109"/>
      <c r="I109"/>
    </row>
    <row r="110" spans="3:9" x14ac:dyDescent="0.3">
      <c r="C110"/>
      <c r="D110"/>
      <c r="E110"/>
      <c r="F110"/>
      <c r="G110"/>
      <c r="H110"/>
      <c r="I110"/>
    </row>
    <row r="111" spans="3:9" x14ac:dyDescent="0.3">
      <c r="C111"/>
      <c r="D111"/>
      <c r="E111"/>
      <c r="F111"/>
      <c r="G111"/>
      <c r="H111"/>
      <c r="I111"/>
    </row>
  </sheetData>
  <mergeCells count="3">
    <mergeCell ref="B3:B4"/>
    <mergeCell ref="B9:B10"/>
    <mergeCell ref="B14:B15"/>
  </mergeCells>
  <pageMargins left="0.511811024" right="0.511811024" top="0.78740157499999996" bottom="0.78740157499999996" header="0.31496062000000002" footer="0.31496062000000002"/>
  <ignoredErrors>
    <ignoredError sqref="F21 F23 F27 F29:F31 C29:D31 C27:D27 C23:D23 C21:D21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1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17.77734375" style="38" hidden="1" customWidth="1"/>
    <col min="2" max="2" width="35.554687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304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85" t="s">
        <v>305</v>
      </c>
      <c r="B5" s="61" t="s">
        <v>305</v>
      </c>
      <c r="C5" s="40">
        <v>902075.7344948079</v>
      </c>
      <c r="D5" s="41">
        <v>771660.61806251167</v>
      </c>
      <c r="E5" s="129">
        <f>IFERROR(C5/D5-1,0)</f>
        <v>0.16900579526753989</v>
      </c>
      <c r="F5" s="42">
        <v>683312.90000000049</v>
      </c>
      <c r="G5" s="133">
        <f>IFERROR(C5/F5-1,0)</f>
        <v>0.32015030668205924</v>
      </c>
      <c r="H5" s="147">
        <v>629125.25999999989</v>
      </c>
      <c r="I5" s="147">
        <v>611657.84</v>
      </c>
    </row>
    <row r="6" spans="1:9" s="38" customFormat="1" x14ac:dyDescent="0.3">
      <c r="A6" s="85" t="s">
        <v>306</v>
      </c>
      <c r="B6" s="19" t="s">
        <v>307</v>
      </c>
      <c r="C6" s="20">
        <v>1173059.2579942492</v>
      </c>
      <c r="D6" s="43">
        <v>933520.68392928818</v>
      </c>
      <c r="E6" s="16">
        <f t="shared" ref="E6:E40" si="0">IFERROR(C6/D6-1,0)</f>
        <v>0.25659696479002236</v>
      </c>
      <c r="F6" s="44">
        <v>937068.76000000047</v>
      </c>
      <c r="G6" s="22">
        <f t="shared" ref="G6:G40" si="1">IFERROR(C6/F6-1,0)</f>
        <v>0.25183904113317013</v>
      </c>
      <c r="H6" s="118">
        <v>975216.91000000015</v>
      </c>
      <c r="I6" s="118">
        <v>999472.30000000016</v>
      </c>
    </row>
    <row r="7" spans="1:9" s="45" customFormat="1" x14ac:dyDescent="0.3">
      <c r="A7" s="85" t="s">
        <v>308</v>
      </c>
      <c r="B7" s="19" t="s">
        <v>308</v>
      </c>
      <c r="C7" s="20">
        <v>1298722.7979764962</v>
      </c>
      <c r="D7" s="43">
        <v>1015439.243588076</v>
      </c>
      <c r="E7" s="16">
        <f t="shared" si="0"/>
        <v>0.27897637025277033</v>
      </c>
      <c r="F7" s="44">
        <v>1161184.73</v>
      </c>
      <c r="G7" s="22">
        <f t="shared" si="1"/>
        <v>0.11844632849804726</v>
      </c>
      <c r="H7" s="118">
        <v>908575.89000000025</v>
      </c>
      <c r="I7" s="118">
        <v>789348.72</v>
      </c>
    </row>
    <row r="8" spans="1:9" s="45" customFormat="1" x14ac:dyDescent="0.3">
      <c r="A8" s="85" t="s">
        <v>309</v>
      </c>
      <c r="B8" s="19" t="s">
        <v>37</v>
      </c>
      <c r="C8" s="20">
        <v>2055424.3446451146</v>
      </c>
      <c r="D8" s="43">
        <v>1949819.3743147047</v>
      </c>
      <c r="E8" s="16">
        <f t="shared" si="0"/>
        <v>5.4161411934644743E-2</v>
      </c>
      <c r="F8" s="44">
        <v>2146270.77</v>
      </c>
      <c r="G8" s="22">
        <f>IFERROR(C8/F8-1,0)</f>
        <v>-4.2327569580088653E-2</v>
      </c>
      <c r="H8" s="118">
        <v>1813617.4699999986</v>
      </c>
      <c r="I8" s="118">
        <v>1289658.02</v>
      </c>
    </row>
    <row r="9" spans="1:9" x14ac:dyDescent="0.3">
      <c r="B9" s="46" t="s">
        <v>51</v>
      </c>
      <c r="C9" s="47">
        <f>SUM(C5:C8)</f>
        <v>5429282.1351106679</v>
      </c>
      <c r="D9" s="49">
        <f>SUM(D5:D8)</f>
        <v>4670439.9198945807</v>
      </c>
      <c r="E9" s="121">
        <f t="shared" si="0"/>
        <v>0.16247767410167557</v>
      </c>
      <c r="F9" s="49">
        <f>SUM(F5:F8)</f>
        <v>4927837.1600000011</v>
      </c>
      <c r="G9" s="122">
        <f>IFERROR(C9/F9-1,0)</f>
        <v>0.10175761877461609</v>
      </c>
      <c r="H9" s="148">
        <f t="shared" ref="H9:I9" si="2">SUM(H5:H8)</f>
        <v>4326535.5299999984</v>
      </c>
      <c r="I9" s="149">
        <f t="shared" si="2"/>
        <v>3690136.8800000004</v>
      </c>
    </row>
    <row r="10" spans="1:9" x14ac:dyDescent="0.3">
      <c r="B10" s="38"/>
      <c r="C10" s="50"/>
      <c r="D10" s="50"/>
      <c r="H10" s="50"/>
      <c r="I10" s="50"/>
    </row>
    <row r="11" spans="1:9" x14ac:dyDescent="0.3">
      <c r="B11" s="202" t="s">
        <v>52</v>
      </c>
      <c r="C11" s="8"/>
      <c r="D11" s="8"/>
      <c r="E11" s="36"/>
      <c r="F11" s="36"/>
      <c r="G11" s="36"/>
      <c r="H11" s="8"/>
      <c r="I11" s="8"/>
    </row>
    <row r="12" spans="1:9" ht="43.2" x14ac:dyDescent="0.3">
      <c r="B12" s="203"/>
      <c r="C12" s="10" t="str">
        <f>'23-Despesas '!C$4</f>
        <v>Orçamento 2026</v>
      </c>
      <c r="D12" s="10" t="str">
        <f>'23-Despesas '!D$4</f>
        <v>Projeção 2025</v>
      </c>
      <c r="E12" s="11" t="s">
        <v>6</v>
      </c>
      <c r="F12" s="37" t="str">
        <f>'23-Despesas '!F$4</f>
        <v>Orçamento 2025</v>
      </c>
      <c r="G12" s="12" t="s">
        <v>8</v>
      </c>
      <c r="H12" s="10" t="s">
        <v>382</v>
      </c>
      <c r="I12" s="10" t="s">
        <v>197</v>
      </c>
    </row>
    <row r="13" spans="1:9" x14ac:dyDescent="0.3">
      <c r="A13" s="38">
        <v>101700</v>
      </c>
      <c r="B13" s="19" t="s">
        <v>310</v>
      </c>
      <c r="C13" s="20">
        <f>C5</f>
        <v>902075.7344948079</v>
      </c>
      <c r="D13" s="43">
        <f>D5</f>
        <v>771660.61806251167</v>
      </c>
      <c r="E13" s="16">
        <f t="shared" si="0"/>
        <v>0.16900579526753989</v>
      </c>
      <c r="F13" s="44">
        <f>F5</f>
        <v>683312.90000000049</v>
      </c>
      <c r="G13" s="24">
        <f t="shared" si="1"/>
        <v>0.32015030668205924</v>
      </c>
      <c r="H13" s="118">
        <f t="shared" ref="H13:I13" si="3">H5</f>
        <v>629125.25999999989</v>
      </c>
      <c r="I13" s="118">
        <f t="shared" si="3"/>
        <v>611657.84</v>
      </c>
    </row>
    <row r="14" spans="1:9" x14ac:dyDescent="0.3">
      <c r="B14" s="46" t="s">
        <v>51</v>
      </c>
      <c r="C14" s="51">
        <f>SUM(C13:C13)</f>
        <v>902075.7344948079</v>
      </c>
      <c r="D14" s="28">
        <f>SUM(D13:D13)</f>
        <v>771660.61806251167</v>
      </c>
      <c r="E14" s="121">
        <f t="shared" si="0"/>
        <v>0.16900579526753989</v>
      </c>
      <c r="F14" s="28">
        <f>SUM(F13:F13)</f>
        <v>683312.90000000049</v>
      </c>
      <c r="G14" s="120">
        <f t="shared" si="1"/>
        <v>0.32015030668205924</v>
      </c>
      <c r="H14" s="150">
        <f t="shared" ref="H14:I14" si="4">SUM(H13:H13)</f>
        <v>629125.25999999989</v>
      </c>
      <c r="I14" s="142">
        <f t="shared" si="4"/>
        <v>611657.84</v>
      </c>
    </row>
    <row r="15" spans="1:9" x14ac:dyDescent="0.3">
      <c r="B15" s="38"/>
      <c r="C15" s="50"/>
      <c r="D15" s="50"/>
      <c r="H15" s="50"/>
      <c r="I15" s="50"/>
    </row>
    <row r="16" spans="1:9" x14ac:dyDescent="0.3">
      <c r="B16" s="202" t="s">
        <v>56</v>
      </c>
      <c r="C16" s="8"/>
      <c r="D16" s="8"/>
      <c r="E16" s="36"/>
      <c r="F16" s="36"/>
      <c r="G16" s="36"/>
      <c r="H16" s="8"/>
      <c r="I16" s="8"/>
    </row>
    <row r="17" spans="1:9" ht="43.2" x14ac:dyDescent="0.3">
      <c r="B17" s="203"/>
      <c r="C17" s="10" t="str">
        <f>'23-Despesas '!C$4</f>
        <v>Orçamento 2026</v>
      </c>
      <c r="D17" s="10" t="str">
        <f>'23-Despesas '!D$4</f>
        <v>Projeção 2025</v>
      </c>
      <c r="E17" s="11" t="s">
        <v>6</v>
      </c>
      <c r="F17" s="37" t="str">
        <f>'23-Despesas '!F$4</f>
        <v>Orçamento 2025</v>
      </c>
      <c r="G17" s="12" t="s">
        <v>8</v>
      </c>
      <c r="H17" s="10" t="s">
        <v>382</v>
      </c>
      <c r="I17" s="10" t="s">
        <v>197</v>
      </c>
    </row>
    <row r="18" spans="1:9" x14ac:dyDescent="0.3">
      <c r="B18" s="39" t="s">
        <v>57</v>
      </c>
      <c r="C18" s="53">
        <f>SUM(C19:C22)</f>
        <v>634765.73449480778</v>
      </c>
      <c r="D18" s="54">
        <f>SUM(D19:D22)</f>
        <v>583451.79433507309</v>
      </c>
      <c r="E18" s="129">
        <f t="shared" si="0"/>
        <v>8.7948894249634257E-2</v>
      </c>
      <c r="F18" s="55">
        <f>SUM(F19:F22)</f>
        <v>553511.9</v>
      </c>
      <c r="G18" s="138">
        <f t="shared" si="1"/>
        <v>0.14679690625406194</v>
      </c>
      <c r="H18" s="151">
        <f t="shared" ref="H18:I18" si="5">SUM(H19:H22)</f>
        <v>495483.60000000003</v>
      </c>
      <c r="I18" s="151">
        <f t="shared" si="5"/>
        <v>455782.98</v>
      </c>
    </row>
    <row r="19" spans="1:9" x14ac:dyDescent="0.3">
      <c r="A19" s="85" t="s">
        <v>58</v>
      </c>
      <c r="B19" s="19" t="str">
        <f>A19</f>
        <v>Salários e provisões</v>
      </c>
      <c r="C19" s="20">
        <v>365467.50077045133</v>
      </c>
      <c r="D19" s="43">
        <v>367880.05992990948</v>
      </c>
      <c r="E19" s="16">
        <f t="shared" si="0"/>
        <v>-6.5580046929366587E-3</v>
      </c>
      <c r="F19" s="44">
        <v>347356.52999999997</v>
      </c>
      <c r="G19" s="24">
        <f t="shared" si="1"/>
        <v>5.2139427954474682E-2</v>
      </c>
      <c r="H19" s="118">
        <v>316825.40000000008</v>
      </c>
      <c r="I19" s="118">
        <v>286001.12</v>
      </c>
    </row>
    <row r="20" spans="1:9" x14ac:dyDescent="0.3">
      <c r="A20" s="85" t="s">
        <v>59</v>
      </c>
      <c r="B20" s="19" t="str">
        <f>A20</f>
        <v>Encargos sociais</v>
      </c>
      <c r="C20" s="20">
        <v>129740.96277351018</v>
      </c>
      <c r="D20" s="43">
        <v>129059.81255188704</v>
      </c>
      <c r="E20" s="16">
        <f t="shared" si="0"/>
        <v>5.2777871605020898E-3</v>
      </c>
      <c r="F20" s="44">
        <v>122060.13999999998</v>
      </c>
      <c r="G20" s="22">
        <f t="shared" si="1"/>
        <v>6.292654402583997E-2</v>
      </c>
      <c r="H20" s="118">
        <v>108645.48999999999</v>
      </c>
      <c r="I20" s="118">
        <v>98452.13</v>
      </c>
    </row>
    <row r="21" spans="1:9" x14ac:dyDescent="0.3">
      <c r="A21" s="85" t="s">
        <v>60</v>
      </c>
      <c r="B21" s="19" t="str">
        <f>A21</f>
        <v>Benefícios</v>
      </c>
      <c r="C21" s="20">
        <v>127431.03095084625</v>
      </c>
      <c r="D21" s="43">
        <v>75043.59141575548</v>
      </c>
      <c r="E21" s="16">
        <f t="shared" si="0"/>
        <v>0.69809344871109102</v>
      </c>
      <c r="F21" s="44">
        <v>72546.430000000022</v>
      </c>
      <c r="G21" s="22">
        <f t="shared" si="1"/>
        <v>0.75654447711412143</v>
      </c>
      <c r="H21" s="118">
        <v>62184.389999999978</v>
      </c>
      <c r="I21" s="118">
        <v>59289.57</v>
      </c>
    </row>
    <row r="22" spans="1:9" x14ac:dyDescent="0.3">
      <c r="A22" s="85" t="s">
        <v>61</v>
      </c>
      <c r="B22" s="19" t="str">
        <f>A22</f>
        <v>Outros</v>
      </c>
      <c r="C22" s="20">
        <v>12126.240000000003</v>
      </c>
      <c r="D22" s="43">
        <v>11468.330437521105</v>
      </c>
      <c r="E22" s="16">
        <f t="shared" si="0"/>
        <v>5.7367510123915277E-2</v>
      </c>
      <c r="F22" s="44">
        <v>11548.799999999997</v>
      </c>
      <c r="G22" s="22">
        <f t="shared" si="1"/>
        <v>5.0000000000000488E-2</v>
      </c>
      <c r="H22" s="118">
        <v>7828.3200000000006</v>
      </c>
      <c r="I22" s="118">
        <v>12040.16</v>
      </c>
    </row>
    <row r="23" spans="1:9" x14ac:dyDescent="0.3">
      <c r="B23" s="39" t="s">
        <v>62</v>
      </c>
      <c r="C23" s="53">
        <f>SUM(C24:C25)</f>
        <v>129600</v>
      </c>
      <c r="D23" s="54">
        <f t="shared" ref="D23:I23" si="6">SUM(D24:D25)</f>
        <v>102031.92543427927</v>
      </c>
      <c r="E23" s="131">
        <f t="shared" si="0"/>
        <v>0.2701906726584109</v>
      </c>
      <c r="F23" s="55">
        <f t="shared" si="6"/>
        <v>42929.720000000008</v>
      </c>
      <c r="G23" s="132">
        <f t="shared" si="1"/>
        <v>2.018887614454508</v>
      </c>
      <c r="H23" s="151">
        <f t="shared" si="6"/>
        <v>85270.229999999981</v>
      </c>
      <c r="I23" s="151">
        <f t="shared" si="6"/>
        <v>79004.52</v>
      </c>
    </row>
    <row r="24" spans="1:9" x14ac:dyDescent="0.3">
      <c r="A24" s="78" t="s">
        <v>63</v>
      </c>
      <c r="B24" s="19" t="str">
        <f>A24</f>
        <v>Serviços contratados</v>
      </c>
      <c r="C24" s="20">
        <v>129600</v>
      </c>
      <c r="D24" s="43">
        <v>102031.92543427927</v>
      </c>
      <c r="E24" s="127">
        <f t="shared" si="0"/>
        <v>0.2701906726584109</v>
      </c>
      <c r="F24" s="44">
        <v>42929.720000000008</v>
      </c>
      <c r="G24" s="128">
        <f t="shared" si="1"/>
        <v>2.018887614454508</v>
      </c>
      <c r="H24" s="118">
        <v>84794.039999999979</v>
      </c>
      <c r="I24" s="118">
        <v>79004.52</v>
      </c>
    </row>
    <row r="25" spans="1:9" s="38" customFormat="1" x14ac:dyDescent="0.3">
      <c r="A25" s="78" t="s">
        <v>100</v>
      </c>
      <c r="B25" s="19" t="str">
        <f>A25</f>
        <v>Encargos sobre serviços contratados</v>
      </c>
      <c r="C25" s="20">
        <v>0</v>
      </c>
      <c r="D25" s="43">
        <v>0</v>
      </c>
      <c r="E25" s="124">
        <f t="shared" si="0"/>
        <v>0</v>
      </c>
      <c r="F25" s="44">
        <v>0</v>
      </c>
      <c r="G25" s="126">
        <f t="shared" si="1"/>
        <v>0</v>
      </c>
      <c r="H25" s="118">
        <v>476.19</v>
      </c>
      <c r="I25" s="118">
        <v>0</v>
      </c>
    </row>
    <row r="26" spans="1:9" x14ac:dyDescent="0.3">
      <c r="B26" s="39" t="s">
        <v>64</v>
      </c>
      <c r="C26" s="53">
        <f>SUM(C27:C29)</f>
        <v>77190</v>
      </c>
      <c r="D26" s="54">
        <f>SUM(D27:D29)</f>
        <v>36753.38580504062</v>
      </c>
      <c r="E26" s="131">
        <f t="shared" si="0"/>
        <v>1.1002146689139485</v>
      </c>
      <c r="F26" s="55">
        <f>SUM(F27:F29)</f>
        <v>41878</v>
      </c>
      <c r="G26" s="132">
        <f t="shared" si="1"/>
        <v>0.84321123262811026</v>
      </c>
      <c r="H26" s="151">
        <f t="shared" ref="H26:I26" si="7">SUM(H27:H29)</f>
        <v>20875.27</v>
      </c>
      <c r="I26" s="151">
        <f t="shared" si="7"/>
        <v>12502.34</v>
      </c>
    </row>
    <row r="27" spans="1:9" x14ac:dyDescent="0.3">
      <c r="A27" s="85" t="s">
        <v>65</v>
      </c>
      <c r="B27" s="19" t="str">
        <f>A27</f>
        <v>Material de consumo geral</v>
      </c>
      <c r="C27" s="20">
        <v>58400</v>
      </c>
      <c r="D27" s="43">
        <v>30788.303316714217</v>
      </c>
      <c r="E27" s="127">
        <f t="shared" si="0"/>
        <v>0.8968242387132801</v>
      </c>
      <c r="F27" s="44">
        <v>36544</v>
      </c>
      <c r="G27" s="128">
        <f t="shared" si="1"/>
        <v>0.59807355516637473</v>
      </c>
      <c r="H27" s="118">
        <v>14709.579999999998</v>
      </c>
      <c r="I27" s="118">
        <v>7356.89</v>
      </c>
    </row>
    <row r="28" spans="1:9" x14ac:dyDescent="0.3">
      <c r="A28" s="85" t="s">
        <v>66</v>
      </c>
      <c r="B28" s="19" t="str">
        <f>A28</f>
        <v>Mercadoria de revenda e consumo</v>
      </c>
      <c r="C28" s="20">
        <v>18040</v>
      </c>
      <c r="D28" s="43">
        <v>5913.9060185322851</v>
      </c>
      <c r="E28" s="127">
        <f t="shared" si="0"/>
        <v>2.0504373832570937</v>
      </c>
      <c r="F28" s="44">
        <v>5190</v>
      </c>
      <c r="G28" s="128">
        <f t="shared" si="1"/>
        <v>2.4759152215799616</v>
      </c>
      <c r="H28" s="118">
        <v>4194.79</v>
      </c>
      <c r="I28" s="118">
        <v>708.74</v>
      </c>
    </row>
    <row r="29" spans="1:9" x14ac:dyDescent="0.3">
      <c r="A29" s="85" t="s">
        <v>67</v>
      </c>
      <c r="B29" s="56" t="str">
        <f>A29</f>
        <v>Mercadoria de uso geral</v>
      </c>
      <c r="C29" s="20">
        <v>750</v>
      </c>
      <c r="D29" s="43">
        <v>51.176469794117807</v>
      </c>
      <c r="E29" s="124">
        <f t="shared" si="0"/>
        <v>13.65517264120091</v>
      </c>
      <c r="F29" s="44">
        <v>144</v>
      </c>
      <c r="G29" s="126">
        <f t="shared" si="1"/>
        <v>4.208333333333333</v>
      </c>
      <c r="H29" s="118">
        <v>1970.9</v>
      </c>
      <c r="I29" s="118">
        <v>4436.71</v>
      </c>
    </row>
    <row r="30" spans="1:9" s="45" customFormat="1" hidden="1" x14ac:dyDescent="0.3">
      <c r="A30" s="38"/>
      <c r="B30" s="61" t="s">
        <v>68</v>
      </c>
      <c r="C30" s="40">
        <f>SUM(C31)</f>
        <v>0</v>
      </c>
      <c r="D30" s="62">
        <f>SUM(D31)</f>
        <v>0</v>
      </c>
      <c r="E30" s="16">
        <f t="shared" si="0"/>
        <v>0</v>
      </c>
      <c r="F30" s="63">
        <f>SUM(F31)</f>
        <v>0</v>
      </c>
      <c r="G30" s="22">
        <f t="shared" si="1"/>
        <v>0</v>
      </c>
      <c r="H30" s="147">
        <f t="shared" ref="H30:I30" si="8">SUM(H31)</f>
        <v>0</v>
      </c>
      <c r="I30" s="147">
        <f t="shared" si="8"/>
        <v>0</v>
      </c>
    </row>
    <row r="31" spans="1:9" hidden="1" x14ac:dyDescent="0.3">
      <c r="B31" s="19" t="s">
        <v>68</v>
      </c>
      <c r="C31" s="20"/>
      <c r="D31" s="43"/>
      <c r="E31" s="16">
        <f t="shared" si="0"/>
        <v>0</v>
      </c>
      <c r="F31" s="44"/>
      <c r="G31" s="22">
        <f t="shared" si="1"/>
        <v>0</v>
      </c>
      <c r="H31" s="118"/>
      <c r="I31" s="118"/>
    </row>
    <row r="32" spans="1:9" hidden="1" x14ac:dyDescent="0.3">
      <c r="B32" s="39" t="s">
        <v>69</v>
      </c>
      <c r="C32" s="14">
        <f>C33</f>
        <v>0</v>
      </c>
      <c r="D32" s="54">
        <f>D33</f>
        <v>0</v>
      </c>
      <c r="E32" s="16">
        <f t="shared" si="0"/>
        <v>0</v>
      </c>
      <c r="F32" s="86">
        <f>F33</f>
        <v>0</v>
      </c>
      <c r="G32" s="22">
        <f t="shared" si="1"/>
        <v>0</v>
      </c>
      <c r="H32" s="153">
        <f t="shared" ref="H32:I32" si="9">H33</f>
        <v>0</v>
      </c>
      <c r="I32" s="153">
        <f t="shared" si="9"/>
        <v>0</v>
      </c>
    </row>
    <row r="33" spans="1:9" hidden="1" x14ac:dyDescent="0.3">
      <c r="B33" s="56" t="s">
        <v>70</v>
      </c>
      <c r="C33" s="57">
        <v>0</v>
      </c>
      <c r="D33" s="58">
        <v>0</v>
      </c>
      <c r="E33" s="16">
        <f t="shared" si="0"/>
        <v>0</v>
      </c>
      <c r="F33" s="59">
        <v>0</v>
      </c>
      <c r="G33" s="22">
        <f t="shared" si="1"/>
        <v>0</v>
      </c>
      <c r="H33" s="152">
        <v>0</v>
      </c>
      <c r="I33" s="152">
        <v>0</v>
      </c>
    </row>
    <row r="34" spans="1:9" x14ac:dyDescent="0.3">
      <c r="B34" s="39" t="s">
        <v>71</v>
      </c>
      <c r="C34" s="53">
        <f>SUM(C35:C37)</f>
        <v>60520</v>
      </c>
      <c r="D34" s="54">
        <f>SUM(D35:D37)</f>
        <v>49423.512488118642</v>
      </c>
      <c r="E34" s="129">
        <f t="shared" si="0"/>
        <v>0.22451839121205608</v>
      </c>
      <c r="F34" s="55">
        <f>SUM(F35:F37)</f>
        <v>44993.279999999999</v>
      </c>
      <c r="G34" s="130">
        <f t="shared" si="1"/>
        <v>0.34508975562572908</v>
      </c>
      <c r="H34" s="151">
        <f t="shared" ref="H34:I34" si="10">SUM(H35:H37)</f>
        <v>27496.16</v>
      </c>
      <c r="I34" s="151">
        <f t="shared" si="10"/>
        <v>64368</v>
      </c>
    </row>
    <row r="35" spans="1:9" x14ac:dyDescent="0.3">
      <c r="A35" s="85" t="s">
        <v>73</v>
      </c>
      <c r="B35" s="19" t="str">
        <f>A35</f>
        <v>Outros gastos gerais</v>
      </c>
      <c r="C35" s="20">
        <v>59800</v>
      </c>
      <c r="D35" s="43">
        <v>48768.189526050752</v>
      </c>
      <c r="E35" s="16">
        <f t="shared" si="0"/>
        <v>0.22620914537039205</v>
      </c>
      <c r="F35" s="44">
        <v>43473.279999999999</v>
      </c>
      <c r="G35" s="22">
        <f t="shared" si="1"/>
        <v>0.37555758387680904</v>
      </c>
      <c r="H35" s="118">
        <v>26469.09</v>
      </c>
      <c r="I35" s="118">
        <v>63882.21</v>
      </c>
    </row>
    <row r="36" spans="1:9" x14ac:dyDescent="0.3">
      <c r="A36" s="85" t="s">
        <v>72</v>
      </c>
      <c r="B36" s="19" t="str">
        <f>A36</f>
        <v>Locomoções gerais - viagens - estadias</v>
      </c>
      <c r="C36" s="20">
        <v>720</v>
      </c>
      <c r="D36" s="43">
        <v>455.32296206789101</v>
      </c>
      <c r="E36" s="16">
        <f t="shared" si="0"/>
        <v>0.58129516844495144</v>
      </c>
      <c r="F36" s="44">
        <v>720</v>
      </c>
      <c r="G36" s="22">
        <f t="shared" si="1"/>
        <v>0</v>
      </c>
      <c r="H36" s="118">
        <v>262.18</v>
      </c>
      <c r="I36" s="118">
        <v>271.52999999999997</v>
      </c>
    </row>
    <row r="37" spans="1:9" x14ac:dyDescent="0.3">
      <c r="A37" s="85" t="s">
        <v>82</v>
      </c>
      <c r="B37" s="56" t="str">
        <f>A37</f>
        <v>Despesas financeiras</v>
      </c>
      <c r="C37" s="20">
        <v>0</v>
      </c>
      <c r="D37" s="43">
        <v>200</v>
      </c>
      <c r="E37" s="16">
        <f t="shared" si="0"/>
        <v>-1</v>
      </c>
      <c r="F37" s="44">
        <v>800</v>
      </c>
      <c r="G37" s="22">
        <f t="shared" si="1"/>
        <v>-1</v>
      </c>
      <c r="H37" s="118">
        <v>764.89</v>
      </c>
      <c r="I37" s="118">
        <v>214.26</v>
      </c>
    </row>
    <row r="38" spans="1:9" s="45" customFormat="1" hidden="1" x14ac:dyDescent="0.3">
      <c r="A38" s="38"/>
      <c r="B38" s="72" t="s">
        <v>101</v>
      </c>
      <c r="C38" s="53">
        <f>SUM(C39)</f>
        <v>0</v>
      </c>
      <c r="D38" s="101">
        <f>SUM(D39)</f>
        <v>0</v>
      </c>
      <c r="E38" s="16">
        <f t="shared" si="0"/>
        <v>0</v>
      </c>
      <c r="F38" s="66">
        <f>SUM(F39)</f>
        <v>0</v>
      </c>
      <c r="G38" s="22">
        <f t="shared" si="1"/>
        <v>0</v>
      </c>
      <c r="H38" s="151">
        <f t="shared" ref="H38:I38" si="11">SUM(H39)</f>
        <v>0</v>
      </c>
      <c r="I38" s="151">
        <f t="shared" si="11"/>
        <v>0</v>
      </c>
    </row>
    <row r="39" spans="1:9" hidden="1" x14ac:dyDescent="0.3">
      <c r="B39" s="73" t="s">
        <v>101</v>
      </c>
      <c r="C39" s="20">
        <v>0</v>
      </c>
      <c r="D39" s="95">
        <v>0</v>
      </c>
      <c r="E39" s="16">
        <f t="shared" si="0"/>
        <v>0</v>
      </c>
      <c r="F39" s="70">
        <v>0</v>
      </c>
      <c r="G39" s="22">
        <f t="shared" si="1"/>
        <v>0</v>
      </c>
      <c r="H39" s="118">
        <v>0</v>
      </c>
      <c r="I39" s="118">
        <v>0</v>
      </c>
    </row>
    <row r="40" spans="1:9" x14ac:dyDescent="0.3">
      <c r="B40" s="26" t="s">
        <v>51</v>
      </c>
      <c r="C40" s="51">
        <f>SUM(C38+C34+C30+C26+C23+C18)</f>
        <v>902075.73449480778</v>
      </c>
      <c r="D40" s="49">
        <f>SUM(D38+D34+D30+D26+D23+D18+D32)</f>
        <v>771660.61806251155</v>
      </c>
      <c r="E40" s="121">
        <f t="shared" si="0"/>
        <v>0.16900579526754012</v>
      </c>
      <c r="F40" s="49">
        <f>SUM(F38+F34+F30+F26+F23+F18+F32)</f>
        <v>683312.9</v>
      </c>
      <c r="G40" s="122">
        <f t="shared" si="1"/>
        <v>0.3201503066820599</v>
      </c>
      <c r="H40" s="150">
        <f t="shared" ref="H40:I40" si="12">SUM(H38+H34+H30+H26+H23+H18)</f>
        <v>629125.26</v>
      </c>
      <c r="I40" s="142">
        <f t="shared" si="12"/>
        <v>611657.84</v>
      </c>
    </row>
    <row r="41" spans="1:9" x14ac:dyDescent="0.3">
      <c r="B41" s="31"/>
    </row>
  </sheetData>
  <mergeCells count="3">
    <mergeCell ref="B3:B4"/>
    <mergeCell ref="B11:B12"/>
    <mergeCell ref="B16:B17"/>
  </mergeCells>
  <pageMargins left="0.511811024" right="0.511811024" top="0.78740157499999996" bottom="0.78740157499999996" header="0.31496062000000002" footer="0.31496062000000002"/>
  <ignoredErrors>
    <ignoredError sqref="F26 F30:F34 C30:D34 C26:D26" formula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1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24.5546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379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85" t="s">
        <v>305</v>
      </c>
      <c r="B5" s="19" t="str">
        <f>'71-PRE_CME'!B5</f>
        <v>Centro Pró Memória Hans Nobiling</v>
      </c>
      <c r="C5" s="20">
        <f>'71-PRE_CME'!C5</f>
        <v>902075.7344948079</v>
      </c>
      <c r="D5" s="21">
        <f>'71-PRE_CME'!D5</f>
        <v>771660.61806251167</v>
      </c>
      <c r="E5" s="16">
        <f>IFERROR(C5/D5-1,0)</f>
        <v>0.16900579526753989</v>
      </c>
      <c r="F5" s="70">
        <f>'71-PRE_CME'!F5</f>
        <v>683312.90000000049</v>
      </c>
      <c r="G5" s="17">
        <f>IFERROR(C5/F5-1,0)</f>
        <v>0.32015030668205924</v>
      </c>
      <c r="H5" s="118">
        <f>'71-PRE_CME'!H5</f>
        <v>629125.25999999989</v>
      </c>
      <c r="I5" s="118">
        <f>'71-PRE_CME'!I5</f>
        <v>611657.84</v>
      </c>
    </row>
    <row r="6" spans="1:9" s="45" customFormat="1" x14ac:dyDescent="0.3">
      <c r="A6" s="85" t="s">
        <v>306</v>
      </c>
      <c r="B6" s="61" t="str">
        <f>'71-PRE_CME'!B6</f>
        <v>DAS - Departamento de Assistência Social</v>
      </c>
      <c r="C6" s="40">
        <f>'71-PRE_CME'!C6</f>
        <v>1173059.2579942492</v>
      </c>
      <c r="D6" s="62">
        <f>'71-PRE_CME'!D6</f>
        <v>933520.68392928818</v>
      </c>
      <c r="E6" s="129">
        <f t="shared" ref="E6:E41" si="0">IFERROR(C6/D6-1,0)</f>
        <v>0.25659696479002236</v>
      </c>
      <c r="F6" s="77">
        <f>'71-PRE_CME'!F6</f>
        <v>937068.76000000047</v>
      </c>
      <c r="G6" s="130">
        <f t="shared" ref="G6:G41" si="1">IFERROR(C6/F6-1,0)</f>
        <v>0.25183904113317013</v>
      </c>
      <c r="H6" s="147">
        <f>'71-PRE_CME'!H6</f>
        <v>975216.91000000015</v>
      </c>
      <c r="I6" s="147">
        <f>'71-PRE_CME'!I6</f>
        <v>999472.30000000016</v>
      </c>
    </row>
    <row r="7" spans="1:9" s="45" customFormat="1" x14ac:dyDescent="0.3">
      <c r="A7" s="85" t="s">
        <v>308</v>
      </c>
      <c r="B7" s="19" t="str">
        <f>'71-PRE_CME'!B7</f>
        <v>Governança e Compliance</v>
      </c>
      <c r="C7" s="20">
        <f>'71-PRE_CME'!C7</f>
        <v>1298722.7979764962</v>
      </c>
      <c r="D7" s="21">
        <f>'71-PRE_CME'!D7</f>
        <v>1015439.243588076</v>
      </c>
      <c r="E7" s="16">
        <f t="shared" si="0"/>
        <v>0.27897637025277033</v>
      </c>
      <c r="F7" s="70">
        <f>'71-PRE_CME'!F7</f>
        <v>1161184.73</v>
      </c>
      <c r="G7" s="22">
        <f t="shared" si="1"/>
        <v>0.11844632849804726</v>
      </c>
      <c r="H7" s="118">
        <f>'71-PRE_CME'!H7</f>
        <v>908575.89000000025</v>
      </c>
      <c r="I7" s="118">
        <f>'71-PRE_CME'!I7</f>
        <v>789348.72</v>
      </c>
    </row>
    <row r="8" spans="1:9" s="45" customFormat="1" x14ac:dyDescent="0.3">
      <c r="A8" s="85" t="s">
        <v>309</v>
      </c>
      <c r="B8" s="19" t="str">
        <f>'71-PRE_CME'!B8</f>
        <v>Presidência</v>
      </c>
      <c r="C8" s="20">
        <f>'71-PRE_CME'!C8</f>
        <v>2055424.3446451146</v>
      </c>
      <c r="D8" s="21">
        <f>'71-PRE_CME'!D8</f>
        <v>1949819.3743147047</v>
      </c>
      <c r="E8" s="16">
        <f t="shared" si="0"/>
        <v>5.4161411934644743E-2</v>
      </c>
      <c r="F8" s="70">
        <f>'71-PRE_CME'!F8</f>
        <v>2146270.77</v>
      </c>
      <c r="G8" s="22">
        <f>IFERROR(C8/F8-1,0)</f>
        <v>-4.2327569580088653E-2</v>
      </c>
      <c r="H8" s="118">
        <f>'71-PRE_CME'!H8</f>
        <v>1813617.4699999986</v>
      </c>
      <c r="I8" s="118">
        <f>'71-PRE_CME'!I8</f>
        <v>1289658.02</v>
      </c>
    </row>
    <row r="9" spans="1:9" x14ac:dyDescent="0.3">
      <c r="B9" s="46" t="s">
        <v>51</v>
      </c>
      <c r="C9" s="51">
        <f>SUM(C5:C8)</f>
        <v>5429282.1351106679</v>
      </c>
      <c r="D9" s="28">
        <f>SUM(D5:D8)</f>
        <v>4670439.9198945807</v>
      </c>
      <c r="E9" s="121">
        <f t="shared" si="0"/>
        <v>0.16247767410167557</v>
      </c>
      <c r="F9" s="49">
        <f>SUM(F5:F8)</f>
        <v>4927837.1600000011</v>
      </c>
      <c r="G9" s="122">
        <f>IFERROR(C9/F9-1,0)</f>
        <v>0.10175761877461609</v>
      </c>
      <c r="H9" s="150">
        <f t="shared" ref="H9:I9" si="2">SUM(H5:H8)</f>
        <v>4326535.5299999984</v>
      </c>
      <c r="I9" s="142">
        <f t="shared" si="2"/>
        <v>3690136.8800000004</v>
      </c>
    </row>
    <row r="10" spans="1:9" x14ac:dyDescent="0.3">
      <c r="B10" s="38"/>
      <c r="C10" s="50"/>
      <c r="D10" s="50"/>
      <c r="H10" s="50"/>
      <c r="I10" s="50"/>
    </row>
    <row r="11" spans="1:9" x14ac:dyDescent="0.3">
      <c r="B11" s="202" t="s">
        <v>52</v>
      </c>
      <c r="C11" s="8"/>
      <c r="D11" s="8"/>
      <c r="E11" s="36"/>
      <c r="F11" s="36"/>
      <c r="G11" s="36"/>
      <c r="H11" s="8"/>
      <c r="I11" s="8"/>
    </row>
    <row r="12" spans="1:9" ht="43.2" x14ac:dyDescent="0.3">
      <c r="B12" s="203"/>
      <c r="C12" s="10" t="str">
        <f>'23-Despesas '!C$4</f>
        <v>Orçamento 2026</v>
      </c>
      <c r="D12" s="10" t="str">
        <f>'23-Despesas '!D$4</f>
        <v>Projeção 2025</v>
      </c>
      <c r="E12" s="11" t="s">
        <v>6</v>
      </c>
      <c r="F12" s="37" t="str">
        <f>'23-Despesas '!F$4</f>
        <v>Orçamento 2025</v>
      </c>
      <c r="G12" s="12" t="s">
        <v>8</v>
      </c>
      <c r="H12" s="10" t="s">
        <v>382</v>
      </c>
      <c r="I12" s="10" t="s">
        <v>197</v>
      </c>
    </row>
    <row r="13" spans="1:9" x14ac:dyDescent="0.3">
      <c r="A13" s="78" t="s">
        <v>311</v>
      </c>
      <c r="B13" s="19" t="str">
        <f>A13</f>
        <v>Administração do DAS</v>
      </c>
      <c r="C13" s="20">
        <v>705247.007994249</v>
      </c>
      <c r="D13" s="21">
        <v>708626.42373003904</v>
      </c>
      <c r="E13" s="16">
        <f t="shared" si="0"/>
        <v>-4.7689665846802898E-3</v>
      </c>
      <c r="F13" s="64">
        <v>619835.06000000006</v>
      </c>
      <c r="G13" s="24">
        <f t="shared" si="1"/>
        <v>0.13779786511955128</v>
      </c>
      <c r="H13" s="118">
        <v>700113.97999999963</v>
      </c>
      <c r="I13" s="118">
        <v>627671.22999999986</v>
      </c>
    </row>
    <row r="14" spans="1:9" x14ac:dyDescent="0.3">
      <c r="A14" s="78" t="s">
        <v>312</v>
      </c>
      <c r="B14" s="19" t="str">
        <f>A14</f>
        <v>Atividades e Eventos do DAS</v>
      </c>
      <c r="C14" s="20">
        <v>346486.12000000005</v>
      </c>
      <c r="D14" s="21">
        <v>144009.67651003465</v>
      </c>
      <c r="E14" s="16">
        <f t="shared" si="0"/>
        <v>1.4059919332980151</v>
      </c>
      <c r="F14" s="64">
        <v>205194.65999999997</v>
      </c>
      <c r="G14" s="24">
        <f t="shared" si="1"/>
        <v>0.68857279229391288</v>
      </c>
      <c r="H14" s="118">
        <v>171054.19</v>
      </c>
      <c r="I14" s="118">
        <v>301493.97000000003</v>
      </c>
    </row>
    <row r="15" spans="1:9" x14ac:dyDescent="0.3">
      <c r="A15" s="78" t="s">
        <v>313</v>
      </c>
      <c r="B15" s="19" t="str">
        <f>A15</f>
        <v>Voluntárias do DAS</v>
      </c>
      <c r="C15" s="20">
        <v>121326.13000000002</v>
      </c>
      <c r="D15" s="21">
        <v>80884.583689213818</v>
      </c>
      <c r="E15" s="16">
        <f t="shared" si="0"/>
        <v>0.49999078274515729</v>
      </c>
      <c r="F15" s="64">
        <v>112039.04000000001</v>
      </c>
      <c r="G15" s="22">
        <f t="shared" si="1"/>
        <v>8.2891552801594992E-2</v>
      </c>
      <c r="H15" s="118">
        <v>104048.73999999999</v>
      </c>
      <c r="I15" s="118">
        <v>70307.100000000006</v>
      </c>
    </row>
    <row r="16" spans="1:9" x14ac:dyDescent="0.3">
      <c r="B16" s="46" t="s">
        <v>51</v>
      </c>
      <c r="C16" s="51">
        <f>SUM(C13:C15)</f>
        <v>1173059.2579942492</v>
      </c>
      <c r="D16" s="28">
        <f>SUM(D13:D15)</f>
        <v>933520.68392928748</v>
      </c>
      <c r="E16" s="121">
        <f t="shared" si="0"/>
        <v>0.25659696479002325</v>
      </c>
      <c r="F16" s="28">
        <f>SUM(F13:F15)</f>
        <v>937068.76</v>
      </c>
      <c r="G16" s="120">
        <f t="shared" si="1"/>
        <v>0.25183904113317057</v>
      </c>
      <c r="H16" s="150">
        <f t="shared" ref="H16:I16" si="3">SUM(H13:H15)</f>
        <v>975216.90999999968</v>
      </c>
      <c r="I16" s="142">
        <f t="shared" si="3"/>
        <v>999472.29999999993</v>
      </c>
    </row>
    <row r="17" spans="1:9" x14ac:dyDescent="0.3">
      <c r="B17" s="38"/>
      <c r="C17" s="50"/>
      <c r="D17" s="50"/>
      <c r="H17" s="50"/>
      <c r="I17" s="50"/>
    </row>
    <row r="18" spans="1:9" x14ac:dyDescent="0.3">
      <c r="B18" s="202" t="s">
        <v>56</v>
      </c>
      <c r="C18" s="8"/>
      <c r="D18" s="8"/>
      <c r="E18" s="36"/>
      <c r="F18" s="36"/>
      <c r="G18" s="36"/>
      <c r="H18" s="8"/>
      <c r="I18" s="8"/>
    </row>
    <row r="19" spans="1:9" ht="43.2" x14ac:dyDescent="0.3">
      <c r="B19" s="203"/>
      <c r="C19" s="10" t="str">
        <f>'23-Despesas '!C$4</f>
        <v>Orçamento 2026</v>
      </c>
      <c r="D19" s="10" t="str">
        <f>'23-Despesas '!D$4</f>
        <v>Projeção 2025</v>
      </c>
      <c r="E19" s="11" t="s">
        <v>6</v>
      </c>
      <c r="F19" s="37" t="str">
        <f>'23-Despesas '!F$4</f>
        <v>Orçamento 2025</v>
      </c>
      <c r="G19" s="12" t="s">
        <v>8</v>
      </c>
      <c r="H19" s="10" t="s">
        <v>382</v>
      </c>
      <c r="I19" s="10" t="s">
        <v>197</v>
      </c>
    </row>
    <row r="20" spans="1:9" x14ac:dyDescent="0.3">
      <c r="B20" s="39" t="s">
        <v>57</v>
      </c>
      <c r="C20" s="53">
        <f>SUM(C21:C23)</f>
        <v>588439.90799424879</v>
      </c>
      <c r="D20" s="65">
        <f>SUM(D21:D23)</f>
        <v>474347.21049795824</v>
      </c>
      <c r="E20" s="129">
        <f t="shared" si="0"/>
        <v>0.24052570558287623</v>
      </c>
      <c r="F20" s="55">
        <f>SUM(F21:F23)</f>
        <v>484276.81999999995</v>
      </c>
      <c r="G20" s="130">
        <f t="shared" si="1"/>
        <v>0.21508997270249042</v>
      </c>
      <c r="H20" s="151">
        <f t="shared" ref="H20:I20" si="4">SUM(H21:H23)</f>
        <v>491415.58999999997</v>
      </c>
      <c r="I20" s="151">
        <f t="shared" si="4"/>
        <v>474362.93000000005</v>
      </c>
    </row>
    <row r="21" spans="1:9" x14ac:dyDescent="0.3">
      <c r="A21" s="85" t="s">
        <v>58</v>
      </c>
      <c r="B21" s="19" t="str">
        <f>A21</f>
        <v>Salários e provisões</v>
      </c>
      <c r="C21" s="20">
        <v>316941.73283498874</v>
      </c>
      <c r="D21" s="43">
        <v>299649.2637915074</v>
      </c>
      <c r="E21" s="16">
        <f t="shared" si="0"/>
        <v>5.7709032302222685E-2</v>
      </c>
      <c r="F21" s="44">
        <v>289179.12999999995</v>
      </c>
      <c r="G21" s="22">
        <f t="shared" si="1"/>
        <v>9.6004863265854556E-2</v>
      </c>
      <c r="H21" s="118">
        <v>317060.82</v>
      </c>
      <c r="I21" s="118">
        <v>310953.53000000003</v>
      </c>
    </row>
    <row r="22" spans="1:9" x14ac:dyDescent="0.3">
      <c r="A22" s="85" t="s">
        <v>60</v>
      </c>
      <c r="B22" s="19" t="str">
        <f>A22</f>
        <v>Benefícios</v>
      </c>
      <c r="C22" s="20">
        <v>158983.86000283904</v>
      </c>
      <c r="D22" s="43">
        <v>69564.566206174641</v>
      </c>
      <c r="E22" s="16">
        <f t="shared" si="0"/>
        <v>1.2854143808162988</v>
      </c>
      <c r="F22" s="44">
        <v>93054.480000000025</v>
      </c>
      <c r="G22" s="22">
        <f t="shared" si="1"/>
        <v>0.70850301890719281</v>
      </c>
      <c r="H22" s="118">
        <v>70178.62000000001</v>
      </c>
      <c r="I22" s="118">
        <v>59666.5</v>
      </c>
    </row>
    <row r="23" spans="1:9" x14ac:dyDescent="0.3">
      <c r="A23" s="85" t="s">
        <v>59</v>
      </c>
      <c r="B23" s="19" t="str">
        <f>A23</f>
        <v>Encargos sociais</v>
      </c>
      <c r="C23" s="20">
        <v>112514.31515642109</v>
      </c>
      <c r="D23" s="43">
        <v>105133.38050027625</v>
      </c>
      <c r="E23" s="16">
        <f t="shared" si="0"/>
        <v>7.0205434477829121E-2</v>
      </c>
      <c r="F23" s="44">
        <v>102043.20999999998</v>
      </c>
      <c r="G23" s="22">
        <f t="shared" si="1"/>
        <v>0.10261442340378268</v>
      </c>
      <c r="H23" s="118">
        <v>104176.14999999998</v>
      </c>
      <c r="I23" s="118">
        <v>103742.9</v>
      </c>
    </row>
    <row r="24" spans="1:9" x14ac:dyDescent="0.3">
      <c r="B24" s="39" t="s">
        <v>62</v>
      </c>
      <c r="C24" s="53">
        <f>SUM(C25:C26)</f>
        <v>197389.85</v>
      </c>
      <c r="D24" s="65">
        <f t="shared" ref="D24:I24" si="5">SUM(D25:D26)</f>
        <v>131305.25148322136</v>
      </c>
      <c r="E24" s="131">
        <f t="shared" si="0"/>
        <v>0.50328983624255996</v>
      </c>
      <c r="F24" s="55">
        <f t="shared" si="5"/>
        <v>136382.00000000003</v>
      </c>
      <c r="G24" s="132">
        <f t="shared" si="1"/>
        <v>0.44733065947119099</v>
      </c>
      <c r="H24" s="151">
        <f t="shared" si="5"/>
        <v>118433.66</v>
      </c>
      <c r="I24" s="151">
        <f t="shared" si="5"/>
        <v>158554.5</v>
      </c>
    </row>
    <row r="25" spans="1:9" x14ac:dyDescent="0.3">
      <c r="A25" s="78" t="s">
        <v>63</v>
      </c>
      <c r="B25" s="19" t="str">
        <f>A25</f>
        <v>Serviços contratados</v>
      </c>
      <c r="C25" s="20">
        <v>197389.85</v>
      </c>
      <c r="D25" s="43">
        <v>131305.25148322136</v>
      </c>
      <c r="E25" s="127">
        <f t="shared" si="0"/>
        <v>0.50328983624255996</v>
      </c>
      <c r="F25" s="44">
        <v>136382.00000000003</v>
      </c>
      <c r="G25" s="128">
        <f t="shared" si="1"/>
        <v>0.44733065947119099</v>
      </c>
      <c r="H25" s="118">
        <v>118433.66</v>
      </c>
      <c r="I25" s="118">
        <v>158354.5</v>
      </c>
    </row>
    <row r="26" spans="1:9" s="38" customFormat="1" x14ac:dyDescent="0.3">
      <c r="A26" s="78" t="s">
        <v>100</v>
      </c>
      <c r="B26" s="19" t="str">
        <f>A26</f>
        <v>Encargos sobre serviços contratados</v>
      </c>
      <c r="C26" s="20">
        <v>0</v>
      </c>
      <c r="D26" s="43">
        <v>0</v>
      </c>
      <c r="E26" s="124">
        <f t="shared" si="0"/>
        <v>0</v>
      </c>
      <c r="F26" s="44">
        <v>0</v>
      </c>
      <c r="G26" s="126">
        <f t="shared" si="1"/>
        <v>0</v>
      </c>
      <c r="H26" s="118">
        <v>0</v>
      </c>
      <c r="I26" s="118">
        <v>200</v>
      </c>
    </row>
    <row r="27" spans="1:9" x14ac:dyDescent="0.3">
      <c r="B27" s="39" t="s">
        <v>64</v>
      </c>
      <c r="C27" s="53">
        <f>SUM(C28:C30)</f>
        <v>326760.21999999997</v>
      </c>
      <c r="D27" s="65">
        <f>SUM(D28:D30)</f>
        <v>283660.3006123802</v>
      </c>
      <c r="E27" s="129">
        <f t="shared" si="0"/>
        <v>0.15194202112376498</v>
      </c>
      <c r="F27" s="55">
        <f>SUM(F28:F30)</f>
        <v>255018.68</v>
      </c>
      <c r="G27" s="130">
        <f t="shared" si="1"/>
        <v>0.28131876457050109</v>
      </c>
      <c r="H27" s="151">
        <f t="shared" ref="H27:I27" si="6">SUM(H28:H30)</f>
        <v>246070.85</v>
      </c>
      <c r="I27" s="151">
        <f t="shared" si="6"/>
        <v>329254.33</v>
      </c>
    </row>
    <row r="28" spans="1:9" x14ac:dyDescent="0.3">
      <c r="A28" s="85" t="s">
        <v>66</v>
      </c>
      <c r="B28" s="19" t="str">
        <f>A28</f>
        <v>Mercadoria de revenda e consumo</v>
      </c>
      <c r="C28" s="20">
        <v>236726.97999999998</v>
      </c>
      <c r="D28" s="43">
        <v>213208.8855033771</v>
      </c>
      <c r="E28" s="16">
        <f t="shared" si="0"/>
        <v>0.11030541452856268</v>
      </c>
      <c r="F28" s="44">
        <v>204104.4</v>
      </c>
      <c r="G28" s="22">
        <f t="shared" si="1"/>
        <v>0.15983281105159897</v>
      </c>
      <c r="H28" s="118">
        <v>181819.99</v>
      </c>
      <c r="I28" s="118">
        <v>281286.29000000004</v>
      </c>
    </row>
    <row r="29" spans="1:9" x14ac:dyDescent="0.3">
      <c r="A29" s="85" t="s">
        <v>65</v>
      </c>
      <c r="B29" s="19" t="str">
        <f>A29</f>
        <v>Material de consumo geral</v>
      </c>
      <c r="C29" s="20">
        <v>60434.000000000007</v>
      </c>
      <c r="D29" s="43">
        <v>21501.024927540031</v>
      </c>
      <c r="E29" s="16">
        <f t="shared" si="0"/>
        <v>1.8107497295439101</v>
      </c>
      <c r="F29" s="44">
        <v>30193.430000000004</v>
      </c>
      <c r="G29" s="22">
        <f t="shared" si="1"/>
        <v>1.0015612668053944</v>
      </c>
      <c r="H29" s="118">
        <v>37352.770000000004</v>
      </c>
      <c r="I29" s="118">
        <v>20651.169999999998</v>
      </c>
    </row>
    <row r="30" spans="1:9" x14ac:dyDescent="0.3">
      <c r="A30" s="85" t="s">
        <v>67</v>
      </c>
      <c r="B30" s="56" t="str">
        <f>A30</f>
        <v>Mercadoria de uso geral</v>
      </c>
      <c r="C30" s="20">
        <v>29599.24</v>
      </c>
      <c r="D30" s="43">
        <v>48950.390181463074</v>
      </c>
      <c r="E30" s="16">
        <f t="shared" si="0"/>
        <v>-0.39532167383603656</v>
      </c>
      <c r="F30" s="44">
        <v>20720.849999999999</v>
      </c>
      <c r="G30" s="22">
        <f t="shared" si="1"/>
        <v>0.42847614842055237</v>
      </c>
      <c r="H30" s="118">
        <v>26898.089999999997</v>
      </c>
      <c r="I30" s="118">
        <v>27316.87</v>
      </c>
    </row>
    <row r="31" spans="1:9" s="45" customFormat="1" hidden="1" x14ac:dyDescent="0.3">
      <c r="B31" s="61" t="s">
        <v>68</v>
      </c>
      <c r="C31" s="40">
        <f>SUM(C32)</f>
        <v>0</v>
      </c>
      <c r="D31" s="65">
        <f>SUM(D32)</f>
        <v>0</v>
      </c>
      <c r="E31" s="16">
        <f t="shared" si="0"/>
        <v>0</v>
      </c>
      <c r="F31" s="66">
        <f>SUM(F32)</f>
        <v>0</v>
      </c>
      <c r="G31" s="22">
        <f t="shared" si="1"/>
        <v>0</v>
      </c>
      <c r="H31" s="147">
        <f t="shared" ref="H31:I31" si="7">SUM(H32)</f>
        <v>0</v>
      </c>
      <c r="I31" s="147">
        <f t="shared" si="7"/>
        <v>0</v>
      </c>
    </row>
    <row r="32" spans="1:9" hidden="1" x14ac:dyDescent="0.3">
      <c r="B32" s="19" t="s">
        <v>68</v>
      </c>
      <c r="C32" s="20">
        <v>0</v>
      </c>
      <c r="D32" s="67"/>
      <c r="E32" s="16">
        <f t="shared" si="0"/>
        <v>0</v>
      </c>
      <c r="F32" s="59">
        <v>0</v>
      </c>
      <c r="G32" s="22">
        <f t="shared" si="1"/>
        <v>0</v>
      </c>
      <c r="H32" s="118">
        <v>0</v>
      </c>
      <c r="I32" s="118">
        <v>0</v>
      </c>
    </row>
    <row r="33" spans="1:9" hidden="1" x14ac:dyDescent="0.3">
      <c r="B33" s="39" t="s">
        <v>69</v>
      </c>
      <c r="C33" s="53">
        <f>SUM(C34)</f>
        <v>0</v>
      </c>
      <c r="D33" s="65">
        <f>SUM(D34)</f>
        <v>0</v>
      </c>
      <c r="E33" s="16">
        <f t="shared" si="0"/>
        <v>0</v>
      </c>
      <c r="F33" s="55">
        <f>SUM(F34)</f>
        <v>0</v>
      </c>
      <c r="G33" s="22">
        <f t="shared" si="1"/>
        <v>0</v>
      </c>
      <c r="H33" s="151">
        <f t="shared" ref="H33:I33" si="8">SUM(H34)</f>
        <v>0</v>
      </c>
      <c r="I33" s="151">
        <f t="shared" si="8"/>
        <v>0</v>
      </c>
    </row>
    <row r="34" spans="1:9" hidden="1" x14ac:dyDescent="0.3">
      <c r="B34" s="19" t="s">
        <v>70</v>
      </c>
      <c r="C34" s="20"/>
      <c r="D34" s="21"/>
      <c r="E34" s="16">
        <f t="shared" si="0"/>
        <v>0</v>
      </c>
      <c r="F34" s="44"/>
      <c r="G34" s="22">
        <f t="shared" si="1"/>
        <v>0</v>
      </c>
      <c r="H34" s="118"/>
      <c r="I34" s="118"/>
    </row>
    <row r="35" spans="1:9" x14ac:dyDescent="0.3">
      <c r="B35" s="39" t="s">
        <v>71</v>
      </c>
      <c r="C35" s="53">
        <f>SUM(C36:C38)</f>
        <v>60469.279999999999</v>
      </c>
      <c r="D35" s="65">
        <f>SUM(D36:D38)</f>
        <v>37902.161335727811</v>
      </c>
      <c r="E35" s="131">
        <f t="shared" si="0"/>
        <v>0.59540453285442818</v>
      </c>
      <c r="F35" s="55">
        <f>SUM(F36:F38)</f>
        <v>61391.259999999995</v>
      </c>
      <c r="G35" s="132">
        <f t="shared" si="1"/>
        <v>-1.5018098667464952E-2</v>
      </c>
      <c r="H35" s="151">
        <f t="shared" ref="H35:I35" si="9">SUM(H36:H38)</f>
        <v>118063.09</v>
      </c>
      <c r="I35" s="151">
        <f t="shared" si="9"/>
        <v>35997.019999999997</v>
      </c>
    </row>
    <row r="36" spans="1:9" x14ac:dyDescent="0.3">
      <c r="A36" s="85" t="s">
        <v>73</v>
      </c>
      <c r="B36" s="19" t="str">
        <f>A36</f>
        <v>Outros gastos gerais</v>
      </c>
      <c r="C36" s="20">
        <v>55869.279999999999</v>
      </c>
      <c r="D36" s="43">
        <v>18588.25378172411</v>
      </c>
      <c r="E36" s="127">
        <f t="shared" si="0"/>
        <v>2.0056228334331454</v>
      </c>
      <c r="F36" s="44">
        <v>54787.35</v>
      </c>
      <c r="G36" s="128">
        <f t="shared" si="1"/>
        <v>1.974780674736043E-2</v>
      </c>
      <c r="H36" s="118">
        <v>76311.009999999995</v>
      </c>
      <c r="I36" s="118">
        <v>29538.7</v>
      </c>
    </row>
    <row r="37" spans="1:9" x14ac:dyDescent="0.3">
      <c r="A37" s="85" t="s">
        <v>72</v>
      </c>
      <c r="B37" s="19" t="str">
        <f>A37</f>
        <v>Locomoções gerais - viagens - estadias</v>
      </c>
      <c r="C37" s="20">
        <v>4600</v>
      </c>
      <c r="D37" s="43">
        <v>19193.737554003703</v>
      </c>
      <c r="E37" s="127">
        <f t="shared" si="0"/>
        <v>-0.76033849649879859</v>
      </c>
      <c r="F37" s="44">
        <v>6603.91</v>
      </c>
      <c r="G37" s="128">
        <f t="shared" si="1"/>
        <v>-0.30344296030684847</v>
      </c>
      <c r="H37" s="118">
        <v>41453.74</v>
      </c>
      <c r="I37" s="118">
        <v>5893.37</v>
      </c>
    </row>
    <row r="38" spans="1:9" x14ac:dyDescent="0.3">
      <c r="A38" s="85" t="s">
        <v>82</v>
      </c>
      <c r="B38" s="56" t="str">
        <f>A38</f>
        <v>Despesas financeiras</v>
      </c>
      <c r="C38" s="20">
        <v>0</v>
      </c>
      <c r="D38" s="43">
        <v>120.17</v>
      </c>
      <c r="E38" s="124">
        <f t="shared" si="0"/>
        <v>-1</v>
      </c>
      <c r="F38" s="44">
        <v>0</v>
      </c>
      <c r="G38" s="126">
        <f t="shared" si="1"/>
        <v>0</v>
      </c>
      <c r="H38" s="118">
        <v>298.34000000000003</v>
      </c>
      <c r="I38" s="118">
        <v>564.94999999999993</v>
      </c>
    </row>
    <row r="39" spans="1:9" s="45" customFormat="1" x14ac:dyDescent="0.3">
      <c r="B39" s="72" t="s">
        <v>83</v>
      </c>
      <c r="C39" s="53">
        <f>SUM(C40)</f>
        <v>0</v>
      </c>
      <c r="D39" s="65">
        <f>SUM(D40)</f>
        <v>6305.76</v>
      </c>
      <c r="E39" s="129">
        <f t="shared" si="0"/>
        <v>-1</v>
      </c>
      <c r="F39" s="66">
        <f>SUM(F40)</f>
        <v>0</v>
      </c>
      <c r="G39" s="130">
        <f t="shared" si="1"/>
        <v>0</v>
      </c>
      <c r="H39" s="151">
        <f t="shared" ref="H39:I39" si="10">SUM(H40)</f>
        <v>1233.72</v>
      </c>
      <c r="I39" s="151">
        <f t="shared" si="10"/>
        <v>1303.52</v>
      </c>
    </row>
    <row r="40" spans="1:9" x14ac:dyDescent="0.3">
      <c r="A40" s="85" t="s">
        <v>83</v>
      </c>
      <c r="B40" s="73" t="str">
        <f>A40</f>
        <v>Tributários fiscais e taxas</v>
      </c>
      <c r="C40" s="20">
        <v>0</v>
      </c>
      <c r="D40" s="43">
        <v>6305.76</v>
      </c>
      <c r="E40" s="16">
        <f t="shared" si="0"/>
        <v>-1</v>
      </c>
      <c r="F40" s="44">
        <v>0</v>
      </c>
      <c r="G40" s="22">
        <f t="shared" si="1"/>
        <v>0</v>
      </c>
      <c r="H40" s="118">
        <v>1233.72</v>
      </c>
      <c r="I40" s="118">
        <v>1303.52</v>
      </c>
    </row>
    <row r="41" spans="1:9" x14ac:dyDescent="0.3">
      <c r="B41" s="26" t="s">
        <v>51</v>
      </c>
      <c r="C41" s="51">
        <f>SUM(C39+C35+C33+C31+C27+C24+C20)</f>
        <v>1173059.2579942488</v>
      </c>
      <c r="D41" s="28">
        <f>SUM(D39+D35+D33+D31+D27+D24+D20)</f>
        <v>933520.6839292876</v>
      </c>
      <c r="E41" s="121">
        <f t="shared" si="0"/>
        <v>0.25659696479002259</v>
      </c>
      <c r="F41" s="28">
        <f>SUM(F39+F35+F33+F31+F27+F24+F20)</f>
        <v>937068.76</v>
      </c>
      <c r="G41" s="122">
        <f t="shared" si="1"/>
        <v>0.25183904113317013</v>
      </c>
      <c r="H41" s="150">
        <f t="shared" ref="H41:I41" si="11">SUM(H39+H35+H33+H31+H27+H24+H20)</f>
        <v>975216.91</v>
      </c>
      <c r="I41" s="142">
        <f t="shared" si="11"/>
        <v>999472.3</v>
      </c>
    </row>
  </sheetData>
  <mergeCells count="3">
    <mergeCell ref="B3:B4"/>
    <mergeCell ref="B11:B12"/>
    <mergeCell ref="B18:B19"/>
  </mergeCells>
  <pageMargins left="0.511811024" right="0.511811024" top="0.78740157499999996" bottom="0.78740157499999996" header="0.31496062000000002" footer="0.31496062000000002"/>
  <ignoredErrors>
    <ignoredError sqref="F27 F31:F35 F39 C39:D39 C31:D35 C27:D27" formula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7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2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314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85" t="s">
        <v>305</v>
      </c>
      <c r="B5" s="13" t="str">
        <f>'71-PRE_CME'!B5</f>
        <v>Centro Pró Memória Hans Nobiling</v>
      </c>
      <c r="C5" s="20">
        <f>'71-PRE_CME'!C5</f>
        <v>902075.7344948079</v>
      </c>
      <c r="D5" s="43">
        <f>'71-PRE_CME'!D5</f>
        <v>771660.61806251167</v>
      </c>
      <c r="E5" s="16">
        <f>IFERROR(C5/D5-1,0)</f>
        <v>0.16900579526753989</v>
      </c>
      <c r="F5" s="44">
        <f>'71-PRE_CME'!F5</f>
        <v>683312.90000000049</v>
      </c>
      <c r="G5" s="17">
        <f>IFERROR(C5/F5-1,0)</f>
        <v>0.32015030668205924</v>
      </c>
      <c r="H5" s="118">
        <f>'71-PRE_CME'!H5</f>
        <v>629125.25999999989</v>
      </c>
      <c r="I5" s="118">
        <f>'71-PRE_CME'!I5</f>
        <v>611657.84</v>
      </c>
    </row>
    <row r="6" spans="1:9" s="38" customFormat="1" x14ac:dyDescent="0.3">
      <c r="A6" s="85" t="s">
        <v>306</v>
      </c>
      <c r="B6" s="19" t="str">
        <f>'71-PRE_CME'!B6</f>
        <v>DAS - Departamento de Assistência Social</v>
      </c>
      <c r="C6" s="20">
        <f>'71-PRE_CME'!C6</f>
        <v>1173059.2579942492</v>
      </c>
      <c r="D6" s="43">
        <f>'71-PRE_CME'!D6</f>
        <v>933520.68392928818</v>
      </c>
      <c r="E6" s="16">
        <f t="shared" ref="E6:E37" si="0">IFERROR(C6/D6-1,0)</f>
        <v>0.25659696479002236</v>
      </c>
      <c r="F6" s="44">
        <f>'71-PRE_CME'!F6</f>
        <v>937068.76000000047</v>
      </c>
      <c r="G6" s="22">
        <f t="shared" ref="G6:G37" si="1">IFERROR(C6/F6-1,0)</f>
        <v>0.25183904113317013</v>
      </c>
      <c r="H6" s="118">
        <f>'71-PRE_CME'!H6</f>
        <v>975216.91000000015</v>
      </c>
      <c r="I6" s="118">
        <f>'71-PRE_CME'!I6</f>
        <v>999472.30000000016</v>
      </c>
    </row>
    <row r="7" spans="1:9" s="38" customFormat="1" x14ac:dyDescent="0.3">
      <c r="A7" s="85" t="s">
        <v>308</v>
      </c>
      <c r="B7" s="61" t="str">
        <f>'71-PRE_CME'!B7</f>
        <v>Governança e Compliance</v>
      </c>
      <c r="C7" s="40">
        <f>'71-PRE_CME'!C7</f>
        <v>1298722.7979764962</v>
      </c>
      <c r="D7" s="41">
        <f>'71-PRE_CME'!D7</f>
        <v>1015439.243588076</v>
      </c>
      <c r="E7" s="129">
        <f t="shared" si="0"/>
        <v>0.27897637025277033</v>
      </c>
      <c r="F7" s="42">
        <f>'71-PRE_CME'!F7</f>
        <v>1161184.73</v>
      </c>
      <c r="G7" s="130">
        <f t="shared" si="1"/>
        <v>0.11844632849804726</v>
      </c>
      <c r="H7" s="147">
        <f>'71-PRE_CME'!H7</f>
        <v>908575.89000000025</v>
      </c>
      <c r="I7" s="147">
        <f>'71-PRE_CME'!I7</f>
        <v>789348.72</v>
      </c>
    </row>
    <row r="8" spans="1:9" s="38" customFormat="1" x14ac:dyDescent="0.3">
      <c r="A8" s="85" t="s">
        <v>309</v>
      </c>
      <c r="B8" s="19" t="str">
        <f>'71-PRE_CME'!B8</f>
        <v>Presidência</v>
      </c>
      <c r="C8" s="20">
        <f>'71-PRE_CME'!C8</f>
        <v>2055424.3446451146</v>
      </c>
      <c r="D8" s="43">
        <f>'71-PRE_CME'!D8</f>
        <v>1949819.3743147047</v>
      </c>
      <c r="E8" s="16">
        <f t="shared" si="0"/>
        <v>5.4161411934644743E-2</v>
      </c>
      <c r="F8" s="44">
        <f>'71-PRE_CME'!F8</f>
        <v>2146270.77</v>
      </c>
      <c r="G8" s="22">
        <f>IFERROR(C8/F8-1,0)</f>
        <v>-4.2327569580088653E-2</v>
      </c>
      <c r="H8" s="118">
        <f>'71-PRE_CME'!H8</f>
        <v>1813617.4699999986</v>
      </c>
      <c r="I8" s="118">
        <f>'71-PRE_CME'!I8</f>
        <v>1289658.02</v>
      </c>
    </row>
    <row r="9" spans="1:9" x14ac:dyDescent="0.3">
      <c r="B9" s="46" t="s">
        <v>51</v>
      </c>
      <c r="C9" s="47">
        <f>SUM(C5:C8)</f>
        <v>5429282.1351106679</v>
      </c>
      <c r="D9" s="49">
        <f>SUM(D5:D8)</f>
        <v>4670439.9198945807</v>
      </c>
      <c r="E9" s="121">
        <f t="shared" si="0"/>
        <v>0.16247767410167557</v>
      </c>
      <c r="F9" s="49">
        <f>SUM(F5:F8)</f>
        <v>4927837.1600000011</v>
      </c>
      <c r="G9" s="122">
        <f>IFERROR(C9/F9-1,0)</f>
        <v>0.10175761877461609</v>
      </c>
      <c r="H9" s="148">
        <f t="shared" ref="H9:I9" si="2">SUM(H5:H8)</f>
        <v>4326535.5299999984</v>
      </c>
      <c r="I9" s="149">
        <f t="shared" si="2"/>
        <v>3690136.8800000004</v>
      </c>
    </row>
    <row r="10" spans="1:9" x14ac:dyDescent="0.3">
      <c r="B10" s="38"/>
      <c r="C10" s="50"/>
      <c r="D10" s="50"/>
      <c r="H10" s="50"/>
      <c r="I10" s="50"/>
    </row>
    <row r="11" spans="1:9" x14ac:dyDescent="0.3">
      <c r="B11" s="202" t="s">
        <v>52</v>
      </c>
      <c r="C11" s="8"/>
      <c r="D11" s="8"/>
      <c r="E11" s="36"/>
      <c r="F11" s="36"/>
      <c r="G11" s="36"/>
      <c r="H11" s="8"/>
      <c r="I11" s="8"/>
    </row>
    <row r="12" spans="1:9" ht="43.2" x14ac:dyDescent="0.3">
      <c r="B12" s="203"/>
      <c r="C12" s="10" t="str">
        <f>'23-Despesas '!C$4</f>
        <v>Orçamento 2026</v>
      </c>
      <c r="D12" s="10" t="str">
        <f>'23-Despesas '!D$4</f>
        <v>Projeção 2025</v>
      </c>
      <c r="E12" s="11" t="s">
        <v>6</v>
      </c>
      <c r="F12" s="37" t="str">
        <f>'23-Despesas '!F$4</f>
        <v>Orçamento 2025</v>
      </c>
      <c r="G12" s="12" t="s">
        <v>8</v>
      </c>
      <c r="H12" s="10" t="s">
        <v>382</v>
      </c>
      <c r="I12" s="10" t="s">
        <v>197</v>
      </c>
    </row>
    <row r="13" spans="1:9" x14ac:dyDescent="0.3">
      <c r="A13" s="38">
        <v>100400</v>
      </c>
      <c r="B13" s="19" t="str">
        <f>B7</f>
        <v>Governança e Compliance</v>
      </c>
      <c r="C13" s="20">
        <f>C7</f>
        <v>1298722.7979764962</v>
      </c>
      <c r="D13" s="43">
        <f>D7</f>
        <v>1015439.243588076</v>
      </c>
      <c r="E13" s="16">
        <f t="shared" si="0"/>
        <v>0.27897637025277033</v>
      </c>
      <c r="F13" s="44">
        <f>F7</f>
        <v>1161184.73</v>
      </c>
      <c r="G13" s="24">
        <f t="shared" si="1"/>
        <v>0.11844632849804726</v>
      </c>
      <c r="H13" s="118">
        <f t="shared" ref="H13:I13" si="3">H7</f>
        <v>908575.89000000025</v>
      </c>
      <c r="I13" s="118">
        <f t="shared" si="3"/>
        <v>789348.72</v>
      </c>
    </row>
    <row r="14" spans="1:9" x14ac:dyDescent="0.3">
      <c r="B14" s="46" t="s">
        <v>51</v>
      </c>
      <c r="C14" s="47">
        <f>SUM(C13)</f>
        <v>1298722.7979764962</v>
      </c>
      <c r="D14" s="28">
        <f>SUM(D13)</f>
        <v>1015439.243588076</v>
      </c>
      <c r="E14" s="121">
        <f t="shared" si="0"/>
        <v>0.27897637025277033</v>
      </c>
      <c r="F14" s="28">
        <f>SUM(F13)</f>
        <v>1161184.73</v>
      </c>
      <c r="G14" s="120">
        <f t="shared" si="1"/>
        <v>0.11844632849804726</v>
      </c>
      <c r="H14" s="148">
        <f t="shared" ref="H14:I14" si="4">SUM(H13)</f>
        <v>908575.89000000025</v>
      </c>
      <c r="I14" s="149">
        <f t="shared" si="4"/>
        <v>789348.72</v>
      </c>
    </row>
    <row r="15" spans="1:9" x14ac:dyDescent="0.3">
      <c r="B15" s="38"/>
      <c r="C15" s="50"/>
      <c r="D15" s="50"/>
      <c r="H15" s="50"/>
      <c r="I15" s="50"/>
    </row>
    <row r="16" spans="1:9" x14ac:dyDescent="0.3">
      <c r="B16" s="202" t="s">
        <v>56</v>
      </c>
      <c r="C16" s="8"/>
      <c r="D16" s="8"/>
      <c r="E16" s="36"/>
      <c r="F16" s="36"/>
      <c r="G16" s="36"/>
      <c r="H16" s="8"/>
      <c r="I16" s="8"/>
    </row>
    <row r="17" spans="1:9" ht="43.2" x14ac:dyDescent="0.3">
      <c r="B17" s="203"/>
      <c r="C17" s="10" t="str">
        <f>'23-Despesas '!C$4</f>
        <v>Orçamento 2026</v>
      </c>
      <c r="D17" s="10" t="str">
        <f>'23-Despesas '!D$4</f>
        <v>Projeção 2025</v>
      </c>
      <c r="E17" s="11" t="s">
        <v>6</v>
      </c>
      <c r="F17" s="37" t="str">
        <f>'23-Despesas '!F$4</f>
        <v>Orçamento 2025</v>
      </c>
      <c r="G17" s="12" t="s">
        <v>8</v>
      </c>
      <c r="H17" s="10" t="s">
        <v>382</v>
      </c>
      <c r="I17" s="10" t="s">
        <v>197</v>
      </c>
    </row>
    <row r="18" spans="1:9" x14ac:dyDescent="0.3">
      <c r="B18" s="39" t="s">
        <v>57</v>
      </c>
      <c r="C18" s="53">
        <f>SUM(C19:C21)</f>
        <v>905542.79797649523</v>
      </c>
      <c r="D18" s="54">
        <f>SUM(D19:D21)</f>
        <v>715453.53341690614</v>
      </c>
      <c r="E18" s="129">
        <f t="shared" si="0"/>
        <v>0.26569058042351035</v>
      </c>
      <c r="F18" s="66">
        <f>SUM(F19:F21)</f>
        <v>821886.61000000022</v>
      </c>
      <c r="G18" s="138">
        <f t="shared" si="1"/>
        <v>0.10178555893068397</v>
      </c>
      <c r="H18" s="151">
        <f t="shared" ref="H18:I18" si="5">SUM(H19:H21)</f>
        <v>671950.53</v>
      </c>
      <c r="I18" s="151">
        <f t="shared" si="5"/>
        <v>599606.56999999995</v>
      </c>
    </row>
    <row r="19" spans="1:9" x14ac:dyDescent="0.3">
      <c r="A19" s="85" t="s">
        <v>58</v>
      </c>
      <c r="B19" s="19" t="str">
        <f>A19</f>
        <v>Salários e provisões</v>
      </c>
      <c r="C19" s="20">
        <v>589521.37384515989</v>
      </c>
      <c r="D19" s="43">
        <v>488970.62876736728</v>
      </c>
      <c r="E19" s="16">
        <f t="shared" si="0"/>
        <v>0.20563759694783346</v>
      </c>
      <c r="F19" s="44">
        <v>552643.44000000018</v>
      </c>
      <c r="G19" s="24">
        <f t="shared" si="1"/>
        <v>6.6730067120962744E-2</v>
      </c>
      <c r="H19" s="118">
        <v>454543.30000000005</v>
      </c>
      <c r="I19" s="118">
        <v>403867.74000000005</v>
      </c>
    </row>
    <row r="20" spans="1:9" x14ac:dyDescent="0.3">
      <c r="A20" s="85" t="s">
        <v>59</v>
      </c>
      <c r="B20" s="19" t="str">
        <f>A20</f>
        <v>Encargos sociais</v>
      </c>
      <c r="C20" s="20">
        <v>209280.08771503181</v>
      </c>
      <c r="D20" s="43">
        <v>166445.62656395635</v>
      </c>
      <c r="E20" s="16">
        <f t="shared" si="0"/>
        <v>0.25734807237254986</v>
      </c>
      <c r="F20" s="44">
        <v>196188.66</v>
      </c>
      <c r="G20" s="24">
        <f t="shared" si="1"/>
        <v>6.6728768701676211E-2</v>
      </c>
      <c r="H20" s="118">
        <v>152605.45000000001</v>
      </c>
      <c r="I20" s="118">
        <v>138497.21999999997</v>
      </c>
    </row>
    <row r="21" spans="1:9" x14ac:dyDescent="0.3">
      <c r="A21" s="85" t="s">
        <v>60</v>
      </c>
      <c r="B21" s="19" t="str">
        <f>A21</f>
        <v>Benefícios</v>
      </c>
      <c r="C21" s="20">
        <v>106741.33641630357</v>
      </c>
      <c r="D21" s="43">
        <v>60037.27808558254</v>
      </c>
      <c r="E21" s="16">
        <f t="shared" si="0"/>
        <v>0.77791765083261866</v>
      </c>
      <c r="F21" s="44">
        <v>73054.50999999998</v>
      </c>
      <c r="G21" s="24">
        <f t="shared" si="1"/>
        <v>0.46111905228443262</v>
      </c>
      <c r="H21" s="118">
        <v>64801.78</v>
      </c>
      <c r="I21" s="118">
        <v>57241.61</v>
      </c>
    </row>
    <row r="22" spans="1:9" x14ac:dyDescent="0.3">
      <c r="B22" s="39" t="s">
        <v>62</v>
      </c>
      <c r="C22" s="53">
        <f>SUM(C23:C23)</f>
        <v>384320</v>
      </c>
      <c r="D22" s="54">
        <f>SUM(D23:D23)</f>
        <v>295135.78688125289</v>
      </c>
      <c r="E22" s="131">
        <f t="shared" si="0"/>
        <v>0.3021802745819846</v>
      </c>
      <c r="F22" s="66">
        <f>SUM(F23:F23)</f>
        <v>332200</v>
      </c>
      <c r="G22" s="137">
        <f t="shared" si="1"/>
        <v>0.15689343768813968</v>
      </c>
      <c r="H22" s="151">
        <f t="shared" ref="H22:I22" si="6">SUM(H23:H23)</f>
        <v>230225.93999999997</v>
      </c>
      <c r="I22" s="151">
        <f t="shared" si="6"/>
        <v>188146.85</v>
      </c>
    </row>
    <row r="23" spans="1:9" x14ac:dyDescent="0.3">
      <c r="A23" s="85" t="s">
        <v>63</v>
      </c>
      <c r="B23" s="19" t="str">
        <f>A23</f>
        <v>Serviços contratados</v>
      </c>
      <c r="C23" s="20">
        <v>384320</v>
      </c>
      <c r="D23" s="43">
        <v>295135.78688125289</v>
      </c>
      <c r="E23" s="124">
        <f t="shared" si="0"/>
        <v>0.3021802745819846</v>
      </c>
      <c r="F23" s="44">
        <v>332200</v>
      </c>
      <c r="G23" s="135">
        <f t="shared" si="1"/>
        <v>0.15689343768813968</v>
      </c>
      <c r="H23" s="118">
        <v>230225.93999999997</v>
      </c>
      <c r="I23" s="118">
        <v>188146.85</v>
      </c>
    </row>
    <row r="24" spans="1:9" hidden="1" x14ac:dyDescent="0.3">
      <c r="B24" s="39" t="s">
        <v>68</v>
      </c>
      <c r="C24" s="14">
        <f>SUM(C25)</f>
        <v>0</v>
      </c>
      <c r="D24" s="101">
        <f>SUM(D25)</f>
        <v>0</v>
      </c>
      <c r="E24" s="16">
        <f t="shared" si="0"/>
        <v>0</v>
      </c>
      <c r="F24" s="106">
        <f>SUM(F25)</f>
        <v>0</v>
      </c>
      <c r="G24" s="24">
        <f t="shared" si="1"/>
        <v>0</v>
      </c>
      <c r="H24" s="153">
        <f t="shared" ref="H24:I24" si="7">SUM(H25)</f>
        <v>0</v>
      </c>
      <c r="I24" s="153">
        <f t="shared" si="7"/>
        <v>0</v>
      </c>
    </row>
    <row r="25" spans="1:9" hidden="1" x14ac:dyDescent="0.3">
      <c r="B25" s="56" t="s">
        <v>68</v>
      </c>
      <c r="C25" s="57"/>
      <c r="D25" s="58"/>
      <c r="E25" s="16">
        <f t="shared" si="0"/>
        <v>0</v>
      </c>
      <c r="F25" s="90"/>
      <c r="G25" s="24">
        <f t="shared" si="1"/>
        <v>0</v>
      </c>
      <c r="H25" s="152"/>
      <c r="I25" s="152"/>
    </row>
    <row r="26" spans="1:9" hidden="1" x14ac:dyDescent="0.3">
      <c r="B26" s="39" t="s">
        <v>69</v>
      </c>
      <c r="C26" s="14">
        <f>SUM(C27)</f>
        <v>0</v>
      </c>
      <c r="D26" s="101">
        <f>SUM(D27)</f>
        <v>0</v>
      </c>
      <c r="E26" s="16">
        <f t="shared" si="0"/>
        <v>0</v>
      </c>
      <c r="F26" s="106">
        <f>SUM(F27)</f>
        <v>0</v>
      </c>
      <c r="G26" s="24">
        <f t="shared" si="1"/>
        <v>0</v>
      </c>
      <c r="H26" s="153">
        <f t="shared" ref="H26:I26" si="8">SUM(H27)</f>
        <v>0</v>
      </c>
      <c r="I26" s="153">
        <f t="shared" si="8"/>
        <v>0</v>
      </c>
    </row>
    <row r="27" spans="1:9" hidden="1" x14ac:dyDescent="0.3">
      <c r="B27" s="56" t="s">
        <v>70</v>
      </c>
      <c r="C27" s="57">
        <v>0</v>
      </c>
      <c r="D27" s="58">
        <v>0</v>
      </c>
      <c r="E27" s="16">
        <f t="shared" si="0"/>
        <v>0</v>
      </c>
      <c r="F27" s="90">
        <v>0</v>
      </c>
      <c r="G27" s="24">
        <f t="shared" si="1"/>
        <v>0</v>
      </c>
      <c r="H27" s="152">
        <v>0</v>
      </c>
      <c r="I27" s="152">
        <v>0</v>
      </c>
    </row>
    <row r="28" spans="1:9" x14ac:dyDescent="0.3">
      <c r="B28" s="39" t="s">
        <v>64</v>
      </c>
      <c r="C28" s="53">
        <f>SUM(C29:C30)</f>
        <v>5400</v>
      </c>
      <c r="D28" s="54">
        <f>SUM(D29:D30)</f>
        <v>3856.4250198039599</v>
      </c>
      <c r="E28" s="131">
        <f t="shared" si="0"/>
        <v>0.40026059686608595</v>
      </c>
      <c r="F28" s="66">
        <f>SUM(F29:F30)</f>
        <v>5520.12</v>
      </c>
      <c r="G28" s="137">
        <f t="shared" si="1"/>
        <v>-2.1760396513119229E-2</v>
      </c>
      <c r="H28" s="151">
        <f t="shared" ref="H28:I28" si="9">SUM(H29:H30)</f>
        <v>5292.76</v>
      </c>
      <c r="I28" s="151">
        <f t="shared" si="9"/>
        <v>1576.12</v>
      </c>
    </row>
    <row r="29" spans="1:9" x14ac:dyDescent="0.3">
      <c r="A29" s="85" t="s">
        <v>65</v>
      </c>
      <c r="B29" s="19" t="str">
        <f>A29</f>
        <v>Material de consumo geral</v>
      </c>
      <c r="C29" s="20">
        <v>5400</v>
      </c>
      <c r="D29" s="43">
        <v>1751.2426173279516</v>
      </c>
      <c r="E29" s="127">
        <f t="shared" si="0"/>
        <v>2.0835247763895373</v>
      </c>
      <c r="F29" s="44">
        <v>2820.12</v>
      </c>
      <c r="G29" s="136">
        <f t="shared" si="1"/>
        <v>0.91481213565380215</v>
      </c>
      <c r="H29" s="118">
        <v>2433.8199999999997</v>
      </c>
      <c r="I29" s="118">
        <v>1191.9699999999998</v>
      </c>
    </row>
    <row r="30" spans="1:9" x14ac:dyDescent="0.3">
      <c r="A30" s="85" t="s">
        <v>66</v>
      </c>
      <c r="B30" s="56" t="str">
        <f>A30</f>
        <v>Mercadoria de revenda e consumo</v>
      </c>
      <c r="C30" s="20">
        <v>0</v>
      </c>
      <c r="D30" s="43">
        <v>2105.1824024760081</v>
      </c>
      <c r="E30" s="124">
        <f t="shared" si="0"/>
        <v>-1</v>
      </c>
      <c r="F30" s="44">
        <v>2700</v>
      </c>
      <c r="G30" s="135">
        <f t="shared" si="1"/>
        <v>-1</v>
      </c>
      <c r="H30" s="118">
        <v>2858.94</v>
      </c>
      <c r="I30" s="118">
        <v>384.15000000000003</v>
      </c>
    </row>
    <row r="31" spans="1:9" x14ac:dyDescent="0.3">
      <c r="B31" s="39" t="s">
        <v>71</v>
      </c>
      <c r="C31" s="53">
        <f>SUM(C32:C34)</f>
        <v>3460</v>
      </c>
      <c r="D31" s="54">
        <f>SUM(D32:D34)</f>
        <v>993.49827011315165</v>
      </c>
      <c r="E31" s="129">
        <f t="shared" si="0"/>
        <v>2.4826432054138685</v>
      </c>
      <c r="F31" s="66">
        <f>SUM(F32:F34)</f>
        <v>1578</v>
      </c>
      <c r="G31" s="138">
        <f t="shared" si="1"/>
        <v>1.1926489226869457</v>
      </c>
      <c r="H31" s="151">
        <f t="shared" ref="H31:I31" si="10">SUM(H32:H34)</f>
        <v>1106.6600000000001</v>
      </c>
      <c r="I31" s="151">
        <f t="shared" si="10"/>
        <v>19.18</v>
      </c>
    </row>
    <row r="32" spans="1:9" x14ac:dyDescent="0.3">
      <c r="A32" s="85" t="s">
        <v>73</v>
      </c>
      <c r="B32" s="19" t="str">
        <f>A32</f>
        <v>Outros gastos gerais</v>
      </c>
      <c r="C32" s="20">
        <v>3100</v>
      </c>
      <c r="D32" s="43">
        <v>421.98827011315166</v>
      </c>
      <c r="E32" s="16">
        <f t="shared" si="0"/>
        <v>6.3461757578445681</v>
      </c>
      <c r="F32" s="44">
        <v>1200</v>
      </c>
      <c r="G32" s="24">
        <f t="shared" si="1"/>
        <v>1.5833333333333335</v>
      </c>
      <c r="H32" s="118">
        <v>70</v>
      </c>
      <c r="I32" s="118">
        <v>0</v>
      </c>
    </row>
    <row r="33" spans="1:9" x14ac:dyDescent="0.3">
      <c r="A33" s="85" t="s">
        <v>82</v>
      </c>
      <c r="B33" s="19" t="str">
        <f>A33</f>
        <v>Despesas financeiras</v>
      </c>
      <c r="C33" s="20">
        <v>360</v>
      </c>
      <c r="D33" s="43">
        <v>126</v>
      </c>
      <c r="E33" s="16">
        <f t="shared" si="0"/>
        <v>1.8571428571428572</v>
      </c>
      <c r="F33" s="44">
        <v>378</v>
      </c>
      <c r="G33" s="24">
        <f t="shared" si="1"/>
        <v>-4.7619047619047672E-2</v>
      </c>
      <c r="H33" s="118">
        <v>191.44</v>
      </c>
      <c r="I33" s="118">
        <v>19.18</v>
      </c>
    </row>
    <row r="34" spans="1:9" x14ac:dyDescent="0.3">
      <c r="A34" s="85" t="s">
        <v>72</v>
      </c>
      <c r="B34" s="56" t="str">
        <f>A34</f>
        <v>Locomoções gerais - viagens - estadias</v>
      </c>
      <c r="C34" s="20">
        <v>0</v>
      </c>
      <c r="D34" s="43">
        <v>445.51</v>
      </c>
      <c r="E34" s="16">
        <f t="shared" si="0"/>
        <v>-1</v>
      </c>
      <c r="F34" s="44">
        <v>0</v>
      </c>
      <c r="G34" s="24">
        <f t="shared" si="1"/>
        <v>0</v>
      </c>
      <c r="H34" s="118">
        <v>845.22</v>
      </c>
      <c r="I34" s="118">
        <v>0</v>
      </c>
    </row>
    <row r="35" spans="1:9" hidden="1" x14ac:dyDescent="0.3">
      <c r="B35" s="72" t="s">
        <v>101</v>
      </c>
      <c r="C35" s="53">
        <f>SUM(C36)</f>
        <v>0</v>
      </c>
      <c r="D35" s="65">
        <f>SUM(D36)</f>
        <v>0</v>
      </c>
      <c r="E35" s="16">
        <f t="shared" si="0"/>
        <v>0</v>
      </c>
      <c r="F35" s="66">
        <f>SUM(F36)</f>
        <v>0</v>
      </c>
      <c r="G35" s="24">
        <f t="shared" si="1"/>
        <v>0</v>
      </c>
      <c r="H35" s="151">
        <f t="shared" ref="H35:I35" si="11">SUM(H36)</f>
        <v>0</v>
      </c>
      <c r="I35" s="151">
        <f t="shared" si="11"/>
        <v>0</v>
      </c>
    </row>
    <row r="36" spans="1:9" hidden="1" x14ac:dyDescent="0.3">
      <c r="B36" s="73" t="s">
        <v>101</v>
      </c>
      <c r="C36" s="20">
        <v>0</v>
      </c>
      <c r="D36" s="43">
        <v>0</v>
      </c>
      <c r="E36" s="16">
        <f t="shared" si="0"/>
        <v>0</v>
      </c>
      <c r="F36" s="44">
        <v>0</v>
      </c>
      <c r="G36" s="24">
        <f t="shared" si="1"/>
        <v>0</v>
      </c>
      <c r="H36" s="118">
        <v>0</v>
      </c>
      <c r="I36" s="118">
        <v>0</v>
      </c>
    </row>
    <row r="37" spans="1:9" x14ac:dyDescent="0.3">
      <c r="B37" s="26" t="s">
        <v>51</v>
      </c>
      <c r="C37" s="51">
        <f>SUM(C35+C31+C28+C22+C18+C24)</f>
        <v>1298722.7979764952</v>
      </c>
      <c r="D37" s="49">
        <f>SUM(D35+D31+D28+D22+D18+D24)</f>
        <v>1015439.2435880762</v>
      </c>
      <c r="E37" s="121">
        <f t="shared" si="0"/>
        <v>0.27897637025276922</v>
      </c>
      <c r="F37" s="28">
        <f>SUM(F35+F31+F28+F22+F18+F24)</f>
        <v>1161184.7300000002</v>
      </c>
      <c r="G37" s="120">
        <f t="shared" si="1"/>
        <v>0.11844632849804615</v>
      </c>
      <c r="H37" s="150">
        <f t="shared" ref="H37:I37" si="12">SUM(H35+H31+H28+H22+H18+H24)</f>
        <v>908575.89</v>
      </c>
      <c r="I37" s="142">
        <f t="shared" si="12"/>
        <v>789348.72</v>
      </c>
    </row>
  </sheetData>
  <mergeCells count="3">
    <mergeCell ref="B3:B4"/>
    <mergeCell ref="B11:B12"/>
    <mergeCell ref="B16:B17"/>
  </mergeCells>
  <pageMargins left="0.511811024" right="0.511811024" top="0.78740157499999996" bottom="0.78740157499999996" header="0.31496062000000002" footer="0.31496062000000002"/>
  <ignoredErrors>
    <ignoredError sqref="F22 F24:F28 F31 C31:D31 C24:D28 C22:D22" formula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1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24.88671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37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  <c r="B2" s="45"/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85" t="s">
        <v>305</v>
      </c>
      <c r="B5" s="19" t="str">
        <f>'71-PRE_CME'!B5</f>
        <v>Centro Pró Memória Hans Nobiling</v>
      </c>
      <c r="C5" s="20">
        <f>'71-PRE_CME'!C5</f>
        <v>902075.7344948079</v>
      </c>
      <c r="D5" s="43">
        <f>'71-PRE_CME'!D5</f>
        <v>771660.61806251167</v>
      </c>
      <c r="E5" s="16">
        <f>IFERROR(C5/D5-1,0)</f>
        <v>0.16900579526753989</v>
      </c>
      <c r="F5" s="44">
        <f>'71-PRE_CME'!F5</f>
        <v>683312.90000000049</v>
      </c>
      <c r="G5" s="17">
        <f>IFERROR(C5/F5-1,0)</f>
        <v>0.32015030668205924</v>
      </c>
      <c r="H5" s="118">
        <f>'71-PRE_CME'!H5</f>
        <v>629125.25999999989</v>
      </c>
      <c r="I5" s="118">
        <f>'71-PRE_CME'!I5</f>
        <v>611657.84</v>
      </c>
    </row>
    <row r="6" spans="1:9" s="45" customFormat="1" x14ac:dyDescent="0.3">
      <c r="A6" s="85" t="s">
        <v>306</v>
      </c>
      <c r="B6" s="19" t="str">
        <f>'71-PRE_CME'!B6</f>
        <v>DAS - Departamento de Assistência Social</v>
      </c>
      <c r="C6" s="20">
        <f>'71-PRE_CME'!C6</f>
        <v>1173059.2579942492</v>
      </c>
      <c r="D6" s="43">
        <f>'71-PRE_CME'!D6</f>
        <v>933520.68392928818</v>
      </c>
      <c r="E6" s="16">
        <f t="shared" ref="E6:E40" si="0">IFERROR(C6/D6-1,0)</f>
        <v>0.25659696479002236</v>
      </c>
      <c r="F6" s="44">
        <f>'71-PRE_CME'!F6</f>
        <v>937068.76000000047</v>
      </c>
      <c r="G6" s="22">
        <f t="shared" ref="G6:G40" si="1">IFERROR(C6/F6-1,0)</f>
        <v>0.25183904113317013</v>
      </c>
      <c r="H6" s="118">
        <f>'71-PRE_CME'!H6</f>
        <v>975216.91000000015</v>
      </c>
      <c r="I6" s="118">
        <f>'71-PRE_CME'!I6</f>
        <v>999472.30000000016</v>
      </c>
    </row>
    <row r="7" spans="1:9" s="38" customFormat="1" x14ac:dyDescent="0.3">
      <c r="A7" s="85" t="s">
        <v>308</v>
      </c>
      <c r="B7" s="19" t="str">
        <f>'71-PRE_CME'!B7</f>
        <v>Governança e Compliance</v>
      </c>
      <c r="C7" s="20">
        <f>'71-PRE_CME'!C7</f>
        <v>1298722.7979764962</v>
      </c>
      <c r="D7" s="43">
        <f>'71-PRE_CME'!D7</f>
        <v>1015439.243588076</v>
      </c>
      <c r="E7" s="16">
        <f t="shared" si="0"/>
        <v>0.27897637025277033</v>
      </c>
      <c r="F7" s="44">
        <f>'71-PRE_CME'!F7</f>
        <v>1161184.73</v>
      </c>
      <c r="G7" s="22">
        <f t="shared" si="1"/>
        <v>0.11844632849804726</v>
      </c>
      <c r="H7" s="118">
        <f>'71-PRE_CME'!H7</f>
        <v>908575.89000000025</v>
      </c>
      <c r="I7" s="118">
        <f>'71-PRE_CME'!I7</f>
        <v>789348.72</v>
      </c>
    </row>
    <row r="8" spans="1:9" s="38" customFormat="1" x14ac:dyDescent="0.3">
      <c r="A8" s="85" t="s">
        <v>309</v>
      </c>
      <c r="B8" s="61" t="str">
        <f>'71-PRE_CME'!B8</f>
        <v>Presidência</v>
      </c>
      <c r="C8" s="40">
        <f>'71-PRE_CME'!C8</f>
        <v>2055424.3446451146</v>
      </c>
      <c r="D8" s="41">
        <f>'71-PRE_CME'!D8</f>
        <v>1949819.3743147047</v>
      </c>
      <c r="E8" s="129">
        <f t="shared" si="0"/>
        <v>5.4161411934644743E-2</v>
      </c>
      <c r="F8" s="42">
        <f>'71-PRE_CME'!F8</f>
        <v>2146270.77</v>
      </c>
      <c r="G8" s="130">
        <f>IFERROR(C8/F8-1,0)</f>
        <v>-4.2327569580088653E-2</v>
      </c>
      <c r="H8" s="147">
        <f>'71-PRE_CME'!H8</f>
        <v>1813617.4699999986</v>
      </c>
      <c r="I8" s="147">
        <f>'71-PRE_CME'!I8</f>
        <v>1289658.02</v>
      </c>
    </row>
    <row r="9" spans="1:9" x14ac:dyDescent="0.3">
      <c r="B9" s="46" t="s">
        <v>51</v>
      </c>
      <c r="C9" s="47">
        <f>SUM(C5:C8)</f>
        <v>5429282.1351106679</v>
      </c>
      <c r="D9" s="49">
        <f>SUM(D5:D8)</f>
        <v>4670439.9198945807</v>
      </c>
      <c r="E9" s="121">
        <f t="shared" si="0"/>
        <v>0.16247767410167557</v>
      </c>
      <c r="F9" s="49">
        <f>SUM(F5:F8)</f>
        <v>4927837.1600000011</v>
      </c>
      <c r="G9" s="122">
        <f>IFERROR(C9/F9-1,0)</f>
        <v>0.10175761877461609</v>
      </c>
      <c r="H9" s="148">
        <f t="shared" ref="H9:I9" si="2">SUM(H5:H8)</f>
        <v>4326535.5299999984</v>
      </c>
      <c r="I9" s="149">
        <f t="shared" si="2"/>
        <v>3690136.8800000004</v>
      </c>
    </row>
    <row r="10" spans="1:9" x14ac:dyDescent="0.3">
      <c r="B10" s="38"/>
      <c r="C10" s="50"/>
      <c r="D10" s="50"/>
      <c r="H10" s="50"/>
      <c r="I10" s="50"/>
    </row>
    <row r="11" spans="1:9" x14ac:dyDescent="0.3">
      <c r="B11" s="202" t="s">
        <v>52</v>
      </c>
      <c r="C11" s="8"/>
      <c r="D11" s="8"/>
      <c r="E11" s="36"/>
      <c r="F11" s="36"/>
      <c r="G11" s="36"/>
      <c r="H11" s="8"/>
      <c r="I11" s="8"/>
    </row>
    <row r="12" spans="1:9" ht="43.2" x14ac:dyDescent="0.3">
      <c r="B12" s="203"/>
      <c r="C12" s="10" t="str">
        <f>'23-Despesas '!C$4</f>
        <v>Orçamento 2026</v>
      </c>
      <c r="D12" s="10" t="str">
        <f>'23-Despesas '!D$4</f>
        <v>Projeção 2025</v>
      </c>
      <c r="E12" s="11" t="s">
        <v>6</v>
      </c>
      <c r="F12" s="37" t="str">
        <f>'23-Despesas '!F$4</f>
        <v>Orçamento 2025</v>
      </c>
      <c r="G12" s="12" t="s">
        <v>8</v>
      </c>
      <c r="H12" s="10" t="s">
        <v>382</v>
      </c>
      <c r="I12" s="10" t="s">
        <v>197</v>
      </c>
    </row>
    <row r="13" spans="1:9" x14ac:dyDescent="0.3">
      <c r="A13" s="78" t="s">
        <v>315</v>
      </c>
      <c r="B13" s="19" t="s">
        <v>316</v>
      </c>
      <c r="C13" s="20">
        <v>1706308.4163494254</v>
      </c>
      <c r="D13" s="118">
        <v>1620715.3497826308</v>
      </c>
      <c r="E13" s="141">
        <f t="shared" si="0"/>
        <v>5.281190591443119E-2</v>
      </c>
      <c r="F13" s="119">
        <v>1764865.9100000013</v>
      </c>
      <c r="G13" s="24">
        <f t="shared" si="1"/>
        <v>-3.3179570934414926E-2</v>
      </c>
      <c r="H13" s="118">
        <v>1399301.3799999992</v>
      </c>
      <c r="I13" s="118">
        <v>974657.93999999983</v>
      </c>
    </row>
    <row r="14" spans="1:9" x14ac:dyDescent="0.3">
      <c r="A14" s="78" t="s">
        <v>317</v>
      </c>
      <c r="B14" s="19" t="s">
        <v>318</v>
      </c>
      <c r="C14" s="20">
        <v>202865.92829568923</v>
      </c>
      <c r="D14" s="118">
        <v>234969.44779976326</v>
      </c>
      <c r="E14" s="141">
        <f t="shared" si="0"/>
        <v>-0.13662848427610075</v>
      </c>
      <c r="F14" s="119">
        <v>245904.85999999981</v>
      </c>
      <c r="G14" s="24">
        <f t="shared" si="1"/>
        <v>-0.17502269660026493</v>
      </c>
      <c r="H14" s="118">
        <v>279815.53999999986</v>
      </c>
      <c r="I14" s="118">
        <v>280191.27999999997</v>
      </c>
    </row>
    <row r="15" spans="1:9" x14ac:dyDescent="0.3">
      <c r="A15" s="78" t="s">
        <v>319</v>
      </c>
      <c r="B15" s="19" t="s">
        <v>320</v>
      </c>
      <c r="C15" s="20">
        <v>146250</v>
      </c>
      <c r="D15" s="118">
        <v>94134.576732310641</v>
      </c>
      <c r="E15" s="141">
        <f t="shared" si="0"/>
        <v>0.55362678706135116</v>
      </c>
      <c r="F15" s="119">
        <v>135500</v>
      </c>
      <c r="G15" s="22">
        <f t="shared" si="1"/>
        <v>7.9335793357933504E-2</v>
      </c>
      <c r="H15" s="118">
        <v>134500.55000000005</v>
      </c>
      <c r="I15" s="118">
        <v>34808.799999999996</v>
      </c>
    </row>
    <row r="16" spans="1:9" x14ac:dyDescent="0.3">
      <c r="B16" s="46" t="s">
        <v>51</v>
      </c>
      <c r="C16" s="51">
        <f>SUM(C13:C15)</f>
        <v>2055424.3446451146</v>
      </c>
      <c r="D16" s="143">
        <f>SUM(D13:D15)</f>
        <v>1949819.3743147047</v>
      </c>
      <c r="E16" s="146">
        <f t="shared" si="0"/>
        <v>5.4161411934644743E-2</v>
      </c>
      <c r="F16" s="143">
        <f>SUM(F13:F15)</f>
        <v>2146270.7700000014</v>
      </c>
      <c r="G16" s="120">
        <f t="shared" si="1"/>
        <v>-4.2327569580089208E-2</v>
      </c>
      <c r="H16" s="150">
        <f t="shared" ref="H16:I16" si="3">SUM(H13:H15)</f>
        <v>1813617.469999999</v>
      </c>
      <c r="I16" s="142">
        <f t="shared" si="3"/>
        <v>1289658.0199999998</v>
      </c>
    </row>
    <row r="17" spans="1:9" x14ac:dyDescent="0.3">
      <c r="B17" s="38"/>
      <c r="C17" s="50"/>
      <c r="D17" s="50"/>
      <c r="H17" s="50"/>
      <c r="I17" s="50"/>
    </row>
    <row r="18" spans="1:9" x14ac:dyDescent="0.3">
      <c r="B18" s="202" t="s">
        <v>56</v>
      </c>
      <c r="C18" s="8"/>
      <c r="D18" s="8"/>
      <c r="E18" s="36"/>
      <c r="F18" s="36"/>
      <c r="G18" s="36"/>
      <c r="H18" s="8"/>
      <c r="I18" s="8"/>
    </row>
    <row r="19" spans="1:9" ht="43.2" x14ac:dyDescent="0.3">
      <c r="B19" s="203"/>
      <c r="C19" s="10" t="str">
        <f>'23-Despesas '!C$4</f>
        <v>Orçamento 2026</v>
      </c>
      <c r="D19" s="10" t="str">
        <f>'23-Despesas '!D$4</f>
        <v>Projeção 2025</v>
      </c>
      <c r="E19" s="11" t="s">
        <v>6</v>
      </c>
      <c r="F19" s="37" t="str">
        <f>'23-Despesas '!F$4</f>
        <v>Orçamento 2025</v>
      </c>
      <c r="G19" s="12" t="s">
        <v>8</v>
      </c>
      <c r="H19" s="10" t="s">
        <v>382</v>
      </c>
      <c r="I19" s="10" t="s">
        <v>197</v>
      </c>
    </row>
    <row r="20" spans="1:9" x14ac:dyDescent="0.3">
      <c r="B20" s="39" t="s">
        <v>57</v>
      </c>
      <c r="C20" s="53">
        <f>SUM(C21:C24)</f>
        <v>1311924.344645116</v>
      </c>
      <c r="D20" s="54">
        <f>SUM(D21:D24)</f>
        <v>1271722.0882121159</v>
      </c>
      <c r="E20" s="129">
        <f t="shared" si="0"/>
        <v>3.161245432916826E-2</v>
      </c>
      <c r="F20" s="55">
        <f>SUM(F21:F24)</f>
        <v>1235201.7699999993</v>
      </c>
      <c r="G20" s="130">
        <f t="shared" si="1"/>
        <v>6.211339435266261E-2</v>
      </c>
      <c r="H20" s="151">
        <f t="shared" ref="H20:I20" si="4">SUM(H21:H24)</f>
        <v>1147947.9300000002</v>
      </c>
      <c r="I20" s="151">
        <f t="shared" si="4"/>
        <v>1093140.9899999998</v>
      </c>
    </row>
    <row r="21" spans="1:9" x14ac:dyDescent="0.3">
      <c r="A21" s="85" t="s">
        <v>58</v>
      </c>
      <c r="B21" s="19" t="str">
        <f>A21</f>
        <v>Salários e provisões</v>
      </c>
      <c r="C21" s="20">
        <v>865738.17416335223</v>
      </c>
      <c r="D21" s="43">
        <v>846161.82088249759</v>
      </c>
      <c r="E21" s="16">
        <f t="shared" si="0"/>
        <v>2.3135472196603724E-2</v>
      </c>
      <c r="F21" s="44">
        <v>818215.37999999966</v>
      </c>
      <c r="G21" s="22">
        <f t="shared" si="1"/>
        <v>5.8081032604584637E-2</v>
      </c>
      <c r="H21" s="118">
        <v>774104.6</v>
      </c>
      <c r="I21" s="118">
        <v>734433.80999999994</v>
      </c>
    </row>
    <row r="22" spans="1:9" x14ac:dyDescent="0.3">
      <c r="A22" s="85" t="s">
        <v>59</v>
      </c>
      <c r="B22" s="19" t="str">
        <f>A22</f>
        <v>Encargos sociais</v>
      </c>
      <c r="C22" s="20">
        <v>307337.05182798993</v>
      </c>
      <c r="D22" s="43">
        <v>303923.90191821475</v>
      </c>
      <c r="E22" s="16">
        <f t="shared" si="0"/>
        <v>1.1230278001279625E-2</v>
      </c>
      <c r="F22" s="44">
        <v>289813.24999999977</v>
      </c>
      <c r="G22" s="22">
        <f t="shared" si="1"/>
        <v>6.0465840771566359E-2</v>
      </c>
      <c r="H22" s="118">
        <v>259555.02000000005</v>
      </c>
      <c r="I22" s="118">
        <v>259811.75999999995</v>
      </c>
    </row>
    <row r="23" spans="1:9" x14ac:dyDescent="0.3">
      <c r="A23" s="85" t="s">
        <v>60</v>
      </c>
      <c r="B23" s="19" t="str">
        <f>A23</f>
        <v>Benefícios</v>
      </c>
      <c r="C23" s="20">
        <v>138849.11865377374</v>
      </c>
      <c r="D23" s="43">
        <v>108486.03975512208</v>
      </c>
      <c r="E23" s="16">
        <f t="shared" si="0"/>
        <v>0.27988005615458089</v>
      </c>
      <c r="F23" s="44">
        <v>109849.94000000006</v>
      </c>
      <c r="G23" s="22">
        <f t="shared" si="1"/>
        <v>0.2639890258817954</v>
      </c>
      <c r="H23" s="118">
        <v>96844.47000000003</v>
      </c>
      <c r="I23" s="118">
        <v>81050.89</v>
      </c>
    </row>
    <row r="24" spans="1:9" x14ac:dyDescent="0.3">
      <c r="A24" s="85" t="s">
        <v>61</v>
      </c>
      <c r="B24" s="19" t="str">
        <f>A24</f>
        <v>Outros</v>
      </c>
      <c r="C24" s="20">
        <v>0</v>
      </c>
      <c r="D24" s="43">
        <v>13150.325656281657</v>
      </c>
      <c r="E24" s="16">
        <f t="shared" si="0"/>
        <v>-1</v>
      </c>
      <c r="F24" s="44">
        <v>17323.2</v>
      </c>
      <c r="G24" s="22">
        <f t="shared" si="1"/>
        <v>-1</v>
      </c>
      <c r="H24" s="118">
        <v>17443.839999999997</v>
      </c>
      <c r="I24" s="118">
        <v>17844.53</v>
      </c>
    </row>
    <row r="25" spans="1:9" x14ac:dyDescent="0.3">
      <c r="B25" s="39" t="s">
        <v>62</v>
      </c>
      <c r="C25" s="53">
        <f>SUM(C26:C27)</f>
        <v>468350</v>
      </c>
      <c r="D25" s="54">
        <f>SUM(D26:D27)</f>
        <v>369456.79413509555</v>
      </c>
      <c r="E25" s="131">
        <f t="shared" si="0"/>
        <v>0.26767191031475024</v>
      </c>
      <c r="F25" s="55">
        <f>SUM(F26:F27)</f>
        <v>479940</v>
      </c>
      <c r="G25" s="132">
        <f t="shared" si="1"/>
        <v>-2.4148851939825855E-2</v>
      </c>
      <c r="H25" s="151">
        <f t="shared" ref="H25:I25" si="5">SUM(H26:H27)</f>
        <v>443948.61000000004</v>
      </c>
      <c r="I25" s="151">
        <f t="shared" si="5"/>
        <v>42494.439999999995</v>
      </c>
    </row>
    <row r="26" spans="1:9" s="38" customFormat="1" x14ac:dyDescent="0.3">
      <c r="A26" s="85" t="s">
        <v>63</v>
      </c>
      <c r="B26" s="19" t="str">
        <f>A26</f>
        <v>Serviços contratados</v>
      </c>
      <c r="C26" s="20">
        <v>468350</v>
      </c>
      <c r="D26" s="43">
        <v>369456.79413509555</v>
      </c>
      <c r="E26" s="127">
        <f t="shared" si="0"/>
        <v>0.26767191031475024</v>
      </c>
      <c r="F26" s="44">
        <v>479140</v>
      </c>
      <c r="G26" s="128">
        <f t="shared" si="1"/>
        <v>-2.2519514129481943E-2</v>
      </c>
      <c r="H26" s="118">
        <v>443948.61000000004</v>
      </c>
      <c r="I26" s="118">
        <v>42115.99</v>
      </c>
    </row>
    <row r="27" spans="1:9" x14ac:dyDescent="0.3">
      <c r="A27" s="85" t="s">
        <v>100</v>
      </c>
      <c r="B27" s="19" t="str">
        <f>A27</f>
        <v>Encargos sobre serviços contratados</v>
      </c>
      <c r="C27" s="20">
        <v>0</v>
      </c>
      <c r="D27" s="43">
        <v>0</v>
      </c>
      <c r="E27" s="124">
        <f t="shared" si="0"/>
        <v>0</v>
      </c>
      <c r="F27" s="44">
        <v>800</v>
      </c>
      <c r="G27" s="126">
        <f t="shared" si="1"/>
        <v>-1</v>
      </c>
      <c r="H27" s="118">
        <v>0</v>
      </c>
      <c r="I27" s="118">
        <v>378.45</v>
      </c>
    </row>
    <row r="28" spans="1:9" x14ac:dyDescent="0.3">
      <c r="B28" s="39" t="s">
        <v>64</v>
      </c>
      <c r="C28" s="53">
        <f>SUM(C29:C31)</f>
        <v>212150</v>
      </c>
      <c r="D28" s="54">
        <f>SUM(D29:D31)</f>
        <v>225584.10891802923</v>
      </c>
      <c r="E28" s="131">
        <f t="shared" si="0"/>
        <v>-5.9552549966676915E-2</v>
      </c>
      <c r="F28" s="55">
        <f>SUM(F29:F31)</f>
        <v>315929</v>
      </c>
      <c r="G28" s="132">
        <f t="shared" si="1"/>
        <v>-0.32848836289166239</v>
      </c>
      <c r="H28" s="151">
        <f t="shared" ref="H28:I28" si="6">SUM(H29:H31)</f>
        <v>179249.53</v>
      </c>
      <c r="I28" s="151">
        <f t="shared" si="6"/>
        <v>134396.41</v>
      </c>
    </row>
    <row r="29" spans="1:9" x14ac:dyDescent="0.3">
      <c r="A29" s="85" t="s">
        <v>66</v>
      </c>
      <c r="B29" s="19" t="str">
        <f>A29</f>
        <v>Mercadoria de revenda e consumo</v>
      </c>
      <c r="C29" s="20">
        <v>159150</v>
      </c>
      <c r="D29" s="43">
        <v>191186.4952593639</v>
      </c>
      <c r="E29" s="127">
        <f t="shared" si="0"/>
        <v>-0.16756672701125219</v>
      </c>
      <c r="F29" s="44">
        <v>260029</v>
      </c>
      <c r="G29" s="128">
        <f t="shared" si="1"/>
        <v>-0.38795288217852619</v>
      </c>
      <c r="H29" s="118">
        <v>138237.93000000002</v>
      </c>
      <c r="I29" s="118">
        <v>94141.700000000012</v>
      </c>
    </row>
    <row r="30" spans="1:9" x14ac:dyDescent="0.3">
      <c r="A30" s="85" t="s">
        <v>67</v>
      </c>
      <c r="B30" s="19" t="str">
        <f>A30</f>
        <v>Mercadoria de uso geral</v>
      </c>
      <c r="C30" s="20">
        <v>37100</v>
      </c>
      <c r="D30" s="43">
        <v>21922.966984917861</v>
      </c>
      <c r="E30" s="127">
        <f t="shared" si="0"/>
        <v>0.69228918811597628</v>
      </c>
      <c r="F30" s="44">
        <v>38000</v>
      </c>
      <c r="G30" s="128">
        <f t="shared" si="1"/>
        <v>-2.3684210526315752E-2</v>
      </c>
      <c r="H30" s="118">
        <v>27664.919999999995</v>
      </c>
      <c r="I30" s="118">
        <v>23708.539999999997</v>
      </c>
    </row>
    <row r="31" spans="1:9" x14ac:dyDescent="0.3">
      <c r="A31" s="85" t="s">
        <v>65</v>
      </c>
      <c r="B31" s="19" t="str">
        <f>A31</f>
        <v>Material de consumo geral</v>
      </c>
      <c r="C31" s="20">
        <v>15900</v>
      </c>
      <c r="D31" s="58">
        <v>12474.64667374744</v>
      </c>
      <c r="E31" s="124">
        <f t="shared" si="0"/>
        <v>0.2745851979488223</v>
      </c>
      <c r="F31" s="59">
        <v>17900</v>
      </c>
      <c r="G31" s="126">
        <f t="shared" si="1"/>
        <v>-0.11173184357541899</v>
      </c>
      <c r="H31" s="118">
        <v>13346.68</v>
      </c>
      <c r="I31" s="118">
        <v>16546.169999999998</v>
      </c>
    </row>
    <row r="32" spans="1:9" hidden="1" x14ac:dyDescent="0.3">
      <c r="B32" s="39" t="s">
        <v>68</v>
      </c>
      <c r="C32" s="53">
        <f>SUM(C33)</f>
        <v>0</v>
      </c>
      <c r="D32" s="54">
        <f>SUM(D33)</f>
        <v>0</v>
      </c>
      <c r="E32" s="16">
        <f t="shared" si="0"/>
        <v>0</v>
      </c>
      <c r="F32" s="55">
        <f>SUM(F33)</f>
        <v>0</v>
      </c>
      <c r="G32" s="22">
        <f t="shared" si="1"/>
        <v>0</v>
      </c>
      <c r="H32" s="151">
        <f t="shared" ref="H32:I32" si="7">SUM(H33)</f>
        <v>0</v>
      </c>
      <c r="I32" s="151">
        <f t="shared" si="7"/>
        <v>0</v>
      </c>
    </row>
    <row r="33" spans="1:9" hidden="1" x14ac:dyDescent="0.3">
      <c r="B33" s="19" t="s">
        <v>68</v>
      </c>
      <c r="C33" s="20">
        <v>0</v>
      </c>
      <c r="D33" s="43"/>
      <c r="E33" s="16">
        <f t="shared" si="0"/>
        <v>0</v>
      </c>
      <c r="F33" s="44">
        <v>0</v>
      </c>
      <c r="G33" s="22">
        <f t="shared" si="1"/>
        <v>0</v>
      </c>
      <c r="H33" s="118">
        <v>0</v>
      </c>
      <c r="I33" s="118">
        <v>0</v>
      </c>
    </row>
    <row r="34" spans="1:9" hidden="1" x14ac:dyDescent="0.3">
      <c r="B34" s="13" t="s">
        <v>69</v>
      </c>
      <c r="C34" s="14">
        <f>SUM(C35)</f>
        <v>0</v>
      </c>
      <c r="D34" s="101">
        <f>SUM(D35)</f>
        <v>0</v>
      </c>
      <c r="E34" s="16">
        <f t="shared" si="0"/>
        <v>0</v>
      </c>
      <c r="F34" s="86">
        <f>SUM(F35)</f>
        <v>0</v>
      </c>
      <c r="G34" s="22">
        <f t="shared" si="1"/>
        <v>0</v>
      </c>
      <c r="H34" s="153">
        <f t="shared" ref="H34:I34" si="8">SUM(H35)</f>
        <v>0</v>
      </c>
      <c r="I34" s="153">
        <f t="shared" si="8"/>
        <v>0</v>
      </c>
    </row>
    <row r="35" spans="1:9" hidden="1" x14ac:dyDescent="0.3">
      <c r="B35" s="19" t="s">
        <v>70</v>
      </c>
      <c r="C35" s="20">
        <v>0</v>
      </c>
      <c r="D35" s="43">
        <v>0</v>
      </c>
      <c r="E35" s="16">
        <f t="shared" si="0"/>
        <v>0</v>
      </c>
      <c r="F35" s="44">
        <v>0</v>
      </c>
      <c r="G35" s="22">
        <f t="shared" si="1"/>
        <v>0</v>
      </c>
      <c r="H35" s="118">
        <v>0</v>
      </c>
      <c r="I35" s="118">
        <v>0</v>
      </c>
    </row>
    <row r="36" spans="1:9" x14ac:dyDescent="0.3">
      <c r="B36" s="39" t="s">
        <v>71</v>
      </c>
      <c r="C36" s="53">
        <f>SUM(C37:C39)</f>
        <v>63000</v>
      </c>
      <c r="D36" s="54">
        <f>SUM(D37:D39)</f>
        <v>83056.383049464072</v>
      </c>
      <c r="E36" s="129">
        <f t="shared" si="0"/>
        <v>-0.24147912915398118</v>
      </c>
      <c r="F36" s="55">
        <f>SUM(F37:F39)</f>
        <v>115200</v>
      </c>
      <c r="G36" s="130">
        <f t="shared" si="1"/>
        <v>-0.453125</v>
      </c>
      <c r="H36" s="151">
        <f t="shared" ref="H36:I36" si="9">SUM(H37:H39)</f>
        <v>42471.399999999994</v>
      </c>
      <c r="I36" s="151">
        <f t="shared" si="9"/>
        <v>19626.18</v>
      </c>
    </row>
    <row r="37" spans="1:9" x14ac:dyDescent="0.3">
      <c r="A37" s="78" t="s">
        <v>72</v>
      </c>
      <c r="B37" s="19" t="str">
        <f>A37</f>
        <v>Locomoções gerais - viagens - estadias</v>
      </c>
      <c r="C37" s="20">
        <v>36000</v>
      </c>
      <c r="D37" s="43">
        <v>22594.857360120426</v>
      </c>
      <c r="E37" s="16">
        <f t="shared" si="0"/>
        <v>0.59328290620411006</v>
      </c>
      <c r="F37" s="44">
        <v>35200</v>
      </c>
      <c r="G37" s="22">
        <f t="shared" si="1"/>
        <v>2.2727272727272707E-2</v>
      </c>
      <c r="H37" s="118">
        <v>30945.19</v>
      </c>
      <c r="I37" s="118">
        <v>16689.16</v>
      </c>
    </row>
    <row r="38" spans="1:9" x14ac:dyDescent="0.3">
      <c r="A38" s="78" t="s">
        <v>73</v>
      </c>
      <c r="B38" s="19" t="str">
        <f>A38</f>
        <v>Outros gastos gerais</v>
      </c>
      <c r="C38" s="20">
        <v>27000</v>
      </c>
      <c r="D38" s="43">
        <v>60461.525689343645</v>
      </c>
      <c r="E38" s="16">
        <f t="shared" si="0"/>
        <v>-0.55343502016921886</v>
      </c>
      <c r="F38" s="44">
        <v>80000</v>
      </c>
      <c r="G38" s="22">
        <f t="shared" si="1"/>
        <v>-0.66249999999999998</v>
      </c>
      <c r="H38" s="118">
        <v>11522.51</v>
      </c>
      <c r="I38" s="118">
        <v>2921.8</v>
      </c>
    </row>
    <row r="39" spans="1:9" x14ac:dyDescent="0.3">
      <c r="A39" s="78" t="s">
        <v>82</v>
      </c>
      <c r="B39" s="19" t="str">
        <f>A39</f>
        <v>Despesas financeiras</v>
      </c>
      <c r="C39" s="20">
        <v>0</v>
      </c>
      <c r="D39" s="58">
        <v>0</v>
      </c>
      <c r="E39" s="16">
        <f t="shared" si="0"/>
        <v>0</v>
      </c>
      <c r="F39" s="59">
        <v>0</v>
      </c>
      <c r="G39" s="22">
        <f t="shared" si="1"/>
        <v>0</v>
      </c>
      <c r="H39" s="118">
        <v>3.7000000000000455</v>
      </c>
      <c r="I39" s="118">
        <v>15.22</v>
      </c>
    </row>
    <row r="40" spans="1:9" x14ac:dyDescent="0.3">
      <c r="B40" s="26" t="s">
        <v>51</v>
      </c>
      <c r="C40" s="51">
        <f>SUM(C36+C32+C28+C25+C20)</f>
        <v>2055424.344645116</v>
      </c>
      <c r="D40" s="49">
        <f>SUM(D36+D32+D28+D25+D20)</f>
        <v>1949819.3743147049</v>
      </c>
      <c r="E40" s="121">
        <f t="shared" si="0"/>
        <v>5.4161411934645409E-2</v>
      </c>
      <c r="F40" s="49">
        <f>SUM(F36+F32+F28+F25+F20)</f>
        <v>2146270.7699999996</v>
      </c>
      <c r="G40" s="122">
        <f t="shared" si="1"/>
        <v>-4.2327569580087765E-2</v>
      </c>
      <c r="H40" s="150">
        <f t="shared" ref="H40:I40" si="10">SUM(H36+H32+H28+H25+H20)</f>
        <v>1813617.4700000002</v>
      </c>
      <c r="I40" s="142">
        <f t="shared" si="10"/>
        <v>1289658.0199999998</v>
      </c>
    </row>
    <row r="41" spans="1:9" x14ac:dyDescent="0.3">
      <c r="B41" s="31"/>
    </row>
  </sheetData>
  <mergeCells count="3">
    <mergeCell ref="B3:B4"/>
    <mergeCell ref="B11:B12"/>
    <mergeCell ref="B18:B19"/>
  </mergeCells>
  <pageMargins left="0.511811024" right="0.511811024" top="0.78740157499999996" bottom="0.78740157499999996" header="0.31496062000000002" footer="0.31496062000000002"/>
  <ignoredErrors>
    <ignoredError sqref="F25 F28 C28:D28 C25:D2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3"/>
  <sheetViews>
    <sheetView showGridLines="0" showRowColHeaders="0" topLeftCell="B14" zoomScale="90" zoomScaleNormal="90" workbookViewId="0">
      <selection activeCell="M45" sqref="M45"/>
    </sheetView>
  </sheetViews>
  <sheetFormatPr defaultRowHeight="14.4" x14ac:dyDescent="0.3"/>
  <cols>
    <col min="1" max="1" width="4.5546875" hidden="1" customWidth="1"/>
    <col min="2" max="2" width="33.441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43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">
        <v>46</v>
      </c>
      <c r="B5" s="39" t="s">
        <v>46</v>
      </c>
      <c r="C5" s="40">
        <v>3233516.4559350433</v>
      </c>
      <c r="D5" s="41">
        <v>2870553.6648320407</v>
      </c>
      <c r="E5" s="16">
        <f>IFERROR(C5/D5-1,0)</f>
        <v>0.12644347867443195</v>
      </c>
      <c r="F5" s="42">
        <v>2980063.2399999951</v>
      </c>
      <c r="G5" s="17">
        <f>IFERROR(C5/F5-1,0)</f>
        <v>8.504960986500687E-2</v>
      </c>
      <c r="H5" s="147">
        <v>2637586.429999996</v>
      </c>
      <c r="I5" s="147">
        <v>2994233.25</v>
      </c>
    </row>
    <row r="6" spans="1:9" s="38" customFormat="1" x14ac:dyDescent="0.3">
      <c r="A6" s="38" t="s">
        <v>47</v>
      </c>
      <c r="B6" s="19" t="s">
        <v>47</v>
      </c>
      <c r="C6" s="20">
        <v>524238.23087338207</v>
      </c>
      <c r="D6" s="43">
        <v>479472.82740456046</v>
      </c>
      <c r="E6" s="16">
        <f t="shared" ref="E6:E41" si="0">IFERROR(C6/D6-1,0)</f>
        <v>9.3363796466093163E-2</v>
      </c>
      <c r="F6" s="44">
        <v>433659.15000000078</v>
      </c>
      <c r="G6" s="22">
        <f t="shared" ref="G6:G18" si="1">IFERROR(C6/F6-1,0)</f>
        <v>0.20887160082608913</v>
      </c>
      <c r="H6" s="118">
        <v>418006.61</v>
      </c>
      <c r="I6" s="118">
        <v>382287.66000000003</v>
      </c>
    </row>
    <row r="7" spans="1:9" s="38" customFormat="1" x14ac:dyDescent="0.3">
      <c r="A7" s="38" t="s">
        <v>48</v>
      </c>
      <c r="B7" s="19" t="s">
        <v>48</v>
      </c>
      <c r="C7" s="20">
        <v>14296105</v>
      </c>
      <c r="D7" s="21">
        <v>12700189.863069788</v>
      </c>
      <c r="E7" s="16">
        <f t="shared" si="0"/>
        <v>0.12566073059827954</v>
      </c>
      <c r="F7" s="44">
        <v>11525889.839999985</v>
      </c>
      <c r="G7" s="22">
        <f t="shared" si="1"/>
        <v>0.2403471834674431</v>
      </c>
      <c r="H7" s="118">
        <v>10533164.439999999</v>
      </c>
      <c r="I7" s="118">
        <v>9923200.0199999996</v>
      </c>
    </row>
    <row r="8" spans="1:9" s="45" customFormat="1" x14ac:dyDescent="0.3">
      <c r="A8" s="38" t="s">
        <v>49</v>
      </c>
      <c r="B8" s="19" t="s">
        <v>49</v>
      </c>
      <c r="C8" s="20">
        <v>7228974.1997492295</v>
      </c>
      <c r="D8" s="43">
        <v>6431517.9764331402</v>
      </c>
      <c r="E8" s="16">
        <f t="shared" si="0"/>
        <v>0.12399191392112852</v>
      </c>
      <c r="F8" s="44">
        <v>7042665.8700000169</v>
      </c>
      <c r="G8" s="22">
        <f>IFERROR(C8/F8-1,0)</f>
        <v>2.6454233835349061E-2</v>
      </c>
      <c r="H8" s="118">
        <v>6045258.7000000048</v>
      </c>
      <c r="I8" s="118">
        <v>5423169.2599999998</v>
      </c>
    </row>
    <row r="9" spans="1:9" s="38" customFormat="1" x14ac:dyDescent="0.3">
      <c r="A9" s="38" t="s">
        <v>50</v>
      </c>
      <c r="B9" s="19" t="s">
        <v>50</v>
      </c>
      <c r="C9" s="20">
        <v>22487705</v>
      </c>
      <c r="D9" s="43">
        <v>20356908.692255907</v>
      </c>
      <c r="E9" s="16">
        <f t="shared" si="0"/>
        <v>0.10467189984276359</v>
      </c>
      <c r="F9" s="44">
        <v>20663024.989999965</v>
      </c>
      <c r="G9" s="22">
        <f>IFERROR(C9/F9-1,0)</f>
        <v>8.8306528733479439E-2</v>
      </c>
      <c r="H9" s="118">
        <v>19464264.200000044</v>
      </c>
      <c r="I9" s="118">
        <v>19187698.720000006</v>
      </c>
    </row>
    <row r="10" spans="1:9" x14ac:dyDescent="0.3">
      <c r="B10" s="46" t="s">
        <v>51</v>
      </c>
      <c r="C10" s="47">
        <f>SUM(C5:C9)</f>
        <v>47770538.886557654</v>
      </c>
      <c r="D10" s="48">
        <f>SUM(D5:D9)</f>
        <v>42838643.023995437</v>
      </c>
      <c r="E10" s="30">
        <f t="shared" si="0"/>
        <v>0.11512726628151326</v>
      </c>
      <c r="F10" s="49">
        <f>SUM(F5:F9)</f>
        <v>42645303.089999959</v>
      </c>
      <c r="G10" s="30">
        <f>IFERROR(C10/F10-1,0)</f>
        <v>0.12018289061614218</v>
      </c>
      <c r="H10" s="149">
        <f t="shared" ref="H10:I10" si="2">SUM(H5:H9)</f>
        <v>39098280.38000004</v>
      </c>
      <c r="I10" s="149">
        <f t="shared" si="2"/>
        <v>37910588.910000004</v>
      </c>
    </row>
    <row r="11" spans="1:9" x14ac:dyDescent="0.3">
      <c r="B11" s="38"/>
      <c r="C11" s="50"/>
      <c r="D11" s="50"/>
      <c r="E11" s="16"/>
      <c r="F11" s="50"/>
      <c r="G11" s="22"/>
      <c r="H11" s="50"/>
      <c r="I11" s="50"/>
    </row>
    <row r="12" spans="1:9" x14ac:dyDescent="0.3">
      <c r="B12" s="202" t="s">
        <v>52</v>
      </c>
      <c r="C12" s="8"/>
      <c r="D12" s="8"/>
      <c r="E12" s="8"/>
      <c r="F12" s="8"/>
      <c r="G12" s="8"/>
      <c r="H12" s="8"/>
      <c r="I12" s="8"/>
    </row>
    <row r="13" spans="1:9" ht="43.2" x14ac:dyDescent="0.3">
      <c r="B13" s="203"/>
      <c r="C13" s="10" t="str">
        <f>'23-Despesas '!C$4</f>
        <v>Orçamento 2026</v>
      </c>
      <c r="D13" s="10" t="str">
        <f>'23-Despesas '!D$4</f>
        <v>Projeção 2025</v>
      </c>
      <c r="E13" s="11" t="s">
        <v>6</v>
      </c>
      <c r="F13" s="37" t="str">
        <f>'23-Despesas '!F$4</f>
        <v>Orçamento 2025</v>
      </c>
      <c r="G13" s="12" t="s">
        <v>8</v>
      </c>
      <c r="H13" s="10" t="s">
        <v>382</v>
      </c>
      <c r="I13" s="10" t="s">
        <v>197</v>
      </c>
    </row>
    <row r="14" spans="1:9" x14ac:dyDescent="0.3">
      <c r="A14" t="s">
        <v>46</v>
      </c>
      <c r="B14" s="19" t="str">
        <f>A14</f>
        <v>Central de Atendimento</v>
      </c>
      <c r="C14" s="20">
        <v>1755908.9368604238</v>
      </c>
      <c r="D14" s="43">
        <v>2511456.8497731034</v>
      </c>
      <c r="E14" s="16">
        <f t="shared" si="0"/>
        <v>-0.30084049143864022</v>
      </c>
      <c r="F14" s="44">
        <v>2701309.6799999978</v>
      </c>
      <c r="G14" s="24">
        <f t="shared" si="1"/>
        <v>-0.34997866040282166</v>
      </c>
      <c r="H14" s="118">
        <v>2310519.1799999988</v>
      </c>
      <c r="I14" s="118">
        <v>2628741.29</v>
      </c>
    </row>
    <row r="15" spans="1:9" x14ac:dyDescent="0.3">
      <c r="A15" t="s">
        <v>54</v>
      </c>
      <c r="B15" s="19" t="str">
        <f>A15</f>
        <v>Cadastro</v>
      </c>
      <c r="C15" s="20">
        <v>631551.43080323888</v>
      </c>
      <c r="D15" s="43">
        <v>359096.81505893817</v>
      </c>
      <c r="E15" s="16">
        <f t="shared" si="0"/>
        <v>0.75872189426013992</v>
      </c>
      <c r="F15" s="44">
        <v>278753.56000000011</v>
      </c>
      <c r="G15" s="22">
        <f t="shared" si="1"/>
        <v>1.2656264221459219</v>
      </c>
      <c r="H15" s="118">
        <v>327067.25</v>
      </c>
      <c r="I15" s="118">
        <v>365491.96</v>
      </c>
    </row>
    <row r="16" spans="1:9" x14ac:dyDescent="0.3">
      <c r="A16" t="s">
        <v>53</v>
      </c>
      <c r="B16" s="19" t="str">
        <f>A16</f>
        <v>Call Center</v>
      </c>
      <c r="C16" s="20">
        <v>614639.39376975677</v>
      </c>
      <c r="D16" s="43">
        <v>0</v>
      </c>
      <c r="E16" s="16">
        <f t="shared" si="0"/>
        <v>0</v>
      </c>
      <c r="F16" s="44">
        <v>0</v>
      </c>
      <c r="G16" s="24">
        <f t="shared" si="1"/>
        <v>0</v>
      </c>
      <c r="H16" s="118">
        <v>0</v>
      </c>
      <c r="I16" s="118">
        <v>0</v>
      </c>
    </row>
    <row r="17" spans="1:9" x14ac:dyDescent="0.3">
      <c r="A17" t="s">
        <v>55</v>
      </c>
      <c r="B17" s="19" t="str">
        <f>A17</f>
        <v>Ouvidoria</v>
      </c>
      <c r="C17" s="20">
        <v>231416.69450160611</v>
      </c>
      <c r="D17" s="43">
        <v>0</v>
      </c>
      <c r="E17" s="16">
        <f t="shared" si="0"/>
        <v>0</v>
      </c>
      <c r="F17" s="44">
        <v>0</v>
      </c>
      <c r="G17" s="22">
        <f t="shared" si="1"/>
        <v>0</v>
      </c>
      <c r="H17" s="118">
        <v>0</v>
      </c>
      <c r="I17" s="118">
        <v>0</v>
      </c>
    </row>
    <row r="18" spans="1:9" x14ac:dyDescent="0.3">
      <c r="B18" s="46" t="s">
        <v>51</v>
      </c>
      <c r="C18" s="51">
        <f>SUM(C14:C17)</f>
        <v>3233516.4559350261</v>
      </c>
      <c r="D18" s="52">
        <f>SUM(D14:D17)</f>
        <v>2870553.6648320416</v>
      </c>
      <c r="E18" s="30">
        <f t="shared" si="0"/>
        <v>0.12644347867442551</v>
      </c>
      <c r="F18" s="49">
        <f>SUM(F14:F17)</f>
        <v>2980063.2399999979</v>
      </c>
      <c r="G18" s="30">
        <f t="shared" si="1"/>
        <v>8.5049609865000209E-2</v>
      </c>
      <c r="H18" s="142">
        <f t="shared" ref="H18:I18" si="3">SUM(H14:H17)</f>
        <v>2637586.4299999988</v>
      </c>
      <c r="I18" s="142">
        <f t="shared" si="3"/>
        <v>2994233.25</v>
      </c>
    </row>
    <row r="19" spans="1:9" x14ac:dyDescent="0.3">
      <c r="B19" s="38"/>
      <c r="C19" s="50"/>
      <c r="D19" s="50"/>
      <c r="E19" s="50"/>
      <c r="F19" s="50"/>
      <c r="G19" s="50"/>
      <c r="H19" s="50"/>
      <c r="I19" s="50"/>
    </row>
    <row r="20" spans="1:9" x14ac:dyDescent="0.3">
      <c r="B20" s="202" t="s">
        <v>56</v>
      </c>
      <c r="C20" s="8"/>
      <c r="D20" s="8"/>
      <c r="E20" s="8"/>
      <c r="F20" s="8"/>
      <c r="G20" s="8"/>
      <c r="H20" s="8"/>
      <c r="I20" s="8"/>
    </row>
    <row r="21" spans="1:9" ht="43.2" x14ac:dyDescent="0.3">
      <c r="B21" s="203"/>
      <c r="C21" s="10" t="str">
        <f>'23-Despesas '!C$4</f>
        <v>Orçamento 2026</v>
      </c>
      <c r="D21" s="10" t="str">
        <f>'23-Despesas '!D$4</f>
        <v>Projeção 2025</v>
      </c>
      <c r="E21" s="11" t="s">
        <v>6</v>
      </c>
      <c r="F21" s="37" t="str">
        <f>'23-Despesas '!F$4</f>
        <v>Orçamento 2025</v>
      </c>
      <c r="G21" s="12" t="s">
        <v>8</v>
      </c>
      <c r="H21" s="10" t="s">
        <v>382</v>
      </c>
      <c r="I21" s="10" t="s">
        <v>197</v>
      </c>
    </row>
    <row r="22" spans="1:9" x14ac:dyDescent="0.3">
      <c r="B22" s="39" t="s">
        <v>57</v>
      </c>
      <c r="C22" s="53">
        <f>SUM(C23:C26)</f>
        <v>2996582.2559350282</v>
      </c>
      <c r="D22" s="54">
        <f>SUM(D23:D26)</f>
        <v>2673965.3176108696</v>
      </c>
      <c r="E22" s="16">
        <f t="shared" si="0"/>
        <v>0.12065113043889797</v>
      </c>
      <c r="F22" s="55">
        <f>SUM(F23:F26)</f>
        <v>2741363.24</v>
      </c>
      <c r="G22" s="22">
        <f>IFERROR(C22/F22-1,0)</f>
        <v>9.3099306290773676E-2</v>
      </c>
      <c r="H22" s="151">
        <f t="shared" ref="H22:I22" si="4">SUM(H23:H26)</f>
        <v>2461407.54</v>
      </c>
      <c r="I22" s="151">
        <f t="shared" si="4"/>
        <v>2604986.4699999997</v>
      </c>
    </row>
    <row r="23" spans="1:9" x14ac:dyDescent="0.3">
      <c r="A23" t="s">
        <v>58</v>
      </c>
      <c r="B23" s="19" t="str">
        <f>A23</f>
        <v>Salários e provisões</v>
      </c>
      <c r="C23" s="20">
        <v>1756978.2800328368</v>
      </c>
      <c r="D23" s="43">
        <v>1569633.7752167231</v>
      </c>
      <c r="E23" s="16">
        <f t="shared" si="0"/>
        <v>0.11935555145036725</v>
      </c>
      <c r="F23" s="44">
        <v>1636569.0899999994</v>
      </c>
      <c r="G23" s="22">
        <f t="shared" ref="G23:G40" si="5">IFERROR(C23/F23-1,0)</f>
        <v>7.3574156305761251E-2</v>
      </c>
      <c r="H23" s="118">
        <v>1455761.5799999998</v>
      </c>
      <c r="I23" s="118">
        <v>1579123.9799999997</v>
      </c>
    </row>
    <row r="24" spans="1:9" x14ac:dyDescent="0.3">
      <c r="A24" t="s">
        <v>59</v>
      </c>
      <c r="B24" s="19" t="str">
        <f>A24</f>
        <v>Encargos sociais</v>
      </c>
      <c r="C24" s="20">
        <v>623727.28941165702</v>
      </c>
      <c r="D24" s="43">
        <v>563234.39307230746</v>
      </c>
      <c r="E24" s="16">
        <f t="shared" si="0"/>
        <v>0.10740270317900058</v>
      </c>
      <c r="F24" s="44">
        <v>580980.92000000039</v>
      </c>
      <c r="G24" s="22">
        <f t="shared" si="5"/>
        <v>7.3576201799633312E-2</v>
      </c>
      <c r="H24" s="118">
        <v>507290.36999999994</v>
      </c>
      <c r="I24" s="118">
        <v>550806.41</v>
      </c>
    </row>
    <row r="25" spans="1:9" x14ac:dyDescent="0.3">
      <c r="A25" t="s">
        <v>60</v>
      </c>
      <c r="B25" s="19" t="str">
        <f>A25</f>
        <v>Benefícios</v>
      </c>
      <c r="C25" s="20">
        <v>561308.60649053426</v>
      </c>
      <c r="D25" s="43">
        <v>496984.79235299467</v>
      </c>
      <c r="E25" s="16">
        <f t="shared" si="0"/>
        <v>0.12942813367184924</v>
      </c>
      <c r="F25" s="44">
        <v>471843.63000000041</v>
      </c>
      <c r="G25" s="22">
        <f t="shared" si="5"/>
        <v>0.18960725715537108</v>
      </c>
      <c r="H25" s="118">
        <v>462058.94000000024</v>
      </c>
      <c r="I25" s="118">
        <v>417551.74999999988</v>
      </c>
    </row>
    <row r="26" spans="1:9" x14ac:dyDescent="0.3">
      <c r="A26" t="s">
        <v>61</v>
      </c>
      <c r="B26" s="19" t="str">
        <f>A26</f>
        <v>Outros</v>
      </c>
      <c r="C26" s="20">
        <v>54568.079999999987</v>
      </c>
      <c r="D26" s="43">
        <v>44112.356968844964</v>
      </c>
      <c r="E26" s="16">
        <f t="shared" si="0"/>
        <v>0.23702481004448561</v>
      </c>
      <c r="F26" s="44">
        <v>51969.600000000013</v>
      </c>
      <c r="G26" s="22">
        <f t="shared" si="5"/>
        <v>4.9999999999999378E-2</v>
      </c>
      <c r="H26" s="118">
        <v>36296.65</v>
      </c>
      <c r="I26" s="118">
        <v>57504.329999999994</v>
      </c>
    </row>
    <row r="27" spans="1:9" x14ac:dyDescent="0.3">
      <c r="B27" s="39" t="s">
        <v>62</v>
      </c>
      <c r="C27" s="53">
        <f>SUM(C28:C28)</f>
        <v>0</v>
      </c>
      <c r="D27" s="54">
        <f>SUM(D28:D28)</f>
        <v>3333.21</v>
      </c>
      <c r="E27" s="123">
        <f t="shared" si="0"/>
        <v>-1</v>
      </c>
      <c r="F27" s="55">
        <f>SUM(F28:F28)</f>
        <v>0</v>
      </c>
      <c r="G27" s="125">
        <f t="shared" si="5"/>
        <v>0</v>
      </c>
      <c r="H27" s="151">
        <f t="shared" ref="H27:I27" si="6">SUM(H28:H28)</f>
        <v>2100.92</v>
      </c>
      <c r="I27" s="151">
        <f t="shared" si="6"/>
        <v>185085.23</v>
      </c>
    </row>
    <row r="28" spans="1:9" s="38" customFormat="1" x14ac:dyDescent="0.3">
      <c r="A28" t="s">
        <v>63</v>
      </c>
      <c r="B28" s="19" t="str">
        <f>A28</f>
        <v>Serviços contratados</v>
      </c>
      <c r="C28" s="20">
        <v>0</v>
      </c>
      <c r="D28" s="43">
        <v>3333.21</v>
      </c>
      <c r="E28" s="124">
        <f t="shared" si="0"/>
        <v>-1</v>
      </c>
      <c r="F28" s="44">
        <v>0</v>
      </c>
      <c r="G28" s="126">
        <f t="shared" si="5"/>
        <v>0</v>
      </c>
      <c r="H28" s="118">
        <v>2100.92</v>
      </c>
      <c r="I28" s="118">
        <v>185085.23</v>
      </c>
    </row>
    <row r="29" spans="1:9" x14ac:dyDescent="0.3">
      <c r="B29" s="39" t="s">
        <v>64</v>
      </c>
      <c r="C29" s="53">
        <f>SUM(C30:C32)</f>
        <v>78780.299999999974</v>
      </c>
      <c r="D29" s="54">
        <f>SUM(D30:D32)</f>
        <v>57611.857009607338</v>
      </c>
      <c r="E29" s="123">
        <f t="shared" si="0"/>
        <v>0.36743205460054162</v>
      </c>
      <c r="F29" s="55">
        <f>SUM(F30:F32)</f>
        <v>69090</v>
      </c>
      <c r="G29" s="125">
        <f t="shared" si="5"/>
        <v>0.14025618758141523</v>
      </c>
      <c r="H29" s="151">
        <f t="shared" ref="H29:I29" si="7">SUM(H30:H32)</f>
        <v>43860.95</v>
      </c>
      <c r="I29" s="151">
        <f t="shared" si="7"/>
        <v>61619.880000000005</v>
      </c>
    </row>
    <row r="30" spans="1:9" x14ac:dyDescent="0.3">
      <c r="A30" t="s">
        <v>65</v>
      </c>
      <c r="B30" s="19" t="str">
        <f>A30</f>
        <v>Material de consumo geral</v>
      </c>
      <c r="C30" s="20">
        <v>50693.599999999969</v>
      </c>
      <c r="D30" s="43">
        <v>36675.099193322225</v>
      </c>
      <c r="E30" s="127">
        <f t="shared" si="0"/>
        <v>0.3822348436682681</v>
      </c>
      <c r="F30" s="44">
        <v>47530</v>
      </c>
      <c r="G30" s="128">
        <f t="shared" si="5"/>
        <v>6.6560067325898808E-2</v>
      </c>
      <c r="H30" s="118">
        <v>28364.929999999993</v>
      </c>
      <c r="I30" s="118">
        <v>32655.86</v>
      </c>
    </row>
    <row r="31" spans="1:9" x14ac:dyDescent="0.3">
      <c r="A31" t="s">
        <v>66</v>
      </c>
      <c r="B31" s="19" t="str">
        <f>A31</f>
        <v>Mercadoria de revenda e consumo</v>
      </c>
      <c r="C31" s="20">
        <v>17313.900000000009</v>
      </c>
      <c r="D31" s="43">
        <v>11431.837816285119</v>
      </c>
      <c r="E31" s="127">
        <f t="shared" si="0"/>
        <v>0.51453338284205308</v>
      </c>
      <c r="F31" s="44">
        <v>11560</v>
      </c>
      <c r="G31" s="128">
        <f t="shared" si="5"/>
        <v>0.49774221453287271</v>
      </c>
      <c r="H31" s="118">
        <v>9379.1000000000022</v>
      </c>
      <c r="I31" s="118">
        <v>9668.16</v>
      </c>
    </row>
    <row r="32" spans="1:9" x14ac:dyDescent="0.3">
      <c r="A32" t="s">
        <v>67</v>
      </c>
      <c r="B32" s="56" t="str">
        <f>A32</f>
        <v>Mercadoria de uso geral</v>
      </c>
      <c r="C32" s="57">
        <v>10772.800000000001</v>
      </c>
      <c r="D32" s="58">
        <v>9504.92</v>
      </c>
      <c r="E32" s="124">
        <f t="shared" si="0"/>
        <v>0.13339196963256938</v>
      </c>
      <c r="F32" s="59">
        <v>10000</v>
      </c>
      <c r="G32" s="126">
        <f t="shared" si="5"/>
        <v>7.7280000000000015E-2</v>
      </c>
      <c r="H32" s="152">
        <v>6116.92</v>
      </c>
      <c r="I32" s="152">
        <v>19295.86</v>
      </c>
    </row>
    <row r="33" spans="1:9" hidden="1" x14ac:dyDescent="0.3">
      <c r="B33" s="39" t="s">
        <v>68</v>
      </c>
      <c r="C33" s="40">
        <f>SUM(C34)</f>
        <v>0</v>
      </c>
      <c r="D33" s="41">
        <f>SUM(D34)</f>
        <v>0</v>
      </c>
      <c r="E33" s="16">
        <f t="shared" si="0"/>
        <v>0</v>
      </c>
      <c r="F33" s="42">
        <f>SUM(F34)</f>
        <v>0</v>
      </c>
      <c r="G33" s="22">
        <f t="shared" si="5"/>
        <v>0</v>
      </c>
      <c r="H33" s="147">
        <f t="shared" ref="H33:I33" si="8">SUM(H34)</f>
        <v>0</v>
      </c>
      <c r="I33" s="147">
        <f t="shared" si="8"/>
        <v>0</v>
      </c>
    </row>
    <row r="34" spans="1:9" hidden="1" x14ac:dyDescent="0.3">
      <c r="B34" s="19" t="s">
        <v>68</v>
      </c>
      <c r="C34" s="20">
        <v>0</v>
      </c>
      <c r="D34" s="43">
        <v>0</v>
      </c>
      <c r="E34" s="16">
        <f t="shared" si="0"/>
        <v>0</v>
      </c>
      <c r="F34" s="44">
        <v>0</v>
      </c>
      <c r="G34" s="22">
        <f t="shared" si="5"/>
        <v>0</v>
      </c>
      <c r="H34" s="118">
        <v>0</v>
      </c>
      <c r="I34" s="118">
        <v>0</v>
      </c>
    </row>
    <row r="35" spans="1:9" hidden="1" x14ac:dyDescent="0.3">
      <c r="B35" s="39" t="s">
        <v>69</v>
      </c>
      <c r="C35" s="53">
        <f>SUM(C36)</f>
        <v>0</v>
      </c>
      <c r="D35" s="54">
        <f>SUM(D36)</f>
        <v>0</v>
      </c>
      <c r="E35" s="16">
        <f t="shared" si="0"/>
        <v>0</v>
      </c>
      <c r="F35" s="55">
        <f>SUM(F36)</f>
        <v>0</v>
      </c>
      <c r="G35" s="22">
        <f t="shared" si="5"/>
        <v>0</v>
      </c>
      <c r="H35" s="151">
        <f t="shared" ref="H35:I35" si="9">SUM(H36)</f>
        <v>0</v>
      </c>
      <c r="I35" s="151">
        <f t="shared" si="9"/>
        <v>0</v>
      </c>
    </row>
    <row r="36" spans="1:9" hidden="1" x14ac:dyDescent="0.3">
      <c r="B36" s="19" t="s">
        <v>70</v>
      </c>
      <c r="C36" s="20">
        <v>0</v>
      </c>
      <c r="D36" s="43"/>
      <c r="E36" s="16">
        <f t="shared" si="0"/>
        <v>0</v>
      </c>
      <c r="F36" s="44">
        <v>0</v>
      </c>
      <c r="G36" s="22">
        <f t="shared" si="5"/>
        <v>0</v>
      </c>
      <c r="H36" s="118">
        <v>0</v>
      </c>
      <c r="I36" s="118">
        <v>0</v>
      </c>
    </row>
    <row r="37" spans="1:9" x14ac:dyDescent="0.3">
      <c r="B37" s="39" t="s">
        <v>71</v>
      </c>
      <c r="C37" s="53">
        <f>SUM(C38:C40)</f>
        <v>158153.9</v>
      </c>
      <c r="D37" s="54">
        <f>SUM(D38:D40)</f>
        <v>135643.2802115643</v>
      </c>
      <c r="E37" s="16">
        <f t="shared" si="0"/>
        <v>0.16595455191975339</v>
      </c>
      <c r="F37" s="55">
        <f>SUM(F38:F40)</f>
        <v>169610</v>
      </c>
      <c r="G37" s="22">
        <f t="shared" si="5"/>
        <v>-6.754377689994695E-2</v>
      </c>
      <c r="H37" s="151">
        <f t="shared" ref="H37:I37" si="10">SUM(H38:H40)</f>
        <v>130217.02000000002</v>
      </c>
      <c r="I37" s="151">
        <f t="shared" si="10"/>
        <v>142541.66999999998</v>
      </c>
    </row>
    <row r="38" spans="1:9" x14ac:dyDescent="0.3">
      <c r="A38" s="78" t="s">
        <v>73</v>
      </c>
      <c r="B38" s="19" t="str">
        <f>A38</f>
        <v>Outros gastos gerais</v>
      </c>
      <c r="C38" s="20">
        <v>156285.5</v>
      </c>
      <c r="D38" s="43">
        <v>134626.86780639458</v>
      </c>
      <c r="E38" s="16">
        <f t="shared" si="0"/>
        <v>0.16087897272298179</v>
      </c>
      <c r="F38" s="44">
        <v>167810</v>
      </c>
      <c r="G38" s="22">
        <f t="shared" si="5"/>
        <v>-6.8675883439604291E-2</v>
      </c>
      <c r="H38" s="118">
        <v>128236.95000000001</v>
      </c>
      <c r="I38" s="118">
        <v>142140.87</v>
      </c>
    </row>
    <row r="39" spans="1:9" x14ac:dyDescent="0.3">
      <c r="A39" s="78" t="s">
        <v>72</v>
      </c>
      <c r="B39" s="19" t="str">
        <f>A39</f>
        <v>Locomoções gerais - viagens - estadias</v>
      </c>
      <c r="C39" s="20">
        <v>1868.4000000000003</v>
      </c>
      <c r="D39" s="43">
        <v>1016.4124051697275</v>
      </c>
      <c r="E39" s="16">
        <f t="shared" si="0"/>
        <v>0.83823022082065402</v>
      </c>
      <c r="F39" s="44">
        <v>1800</v>
      </c>
      <c r="G39" s="22">
        <f t="shared" si="5"/>
        <v>3.8000000000000256E-2</v>
      </c>
      <c r="H39" s="118">
        <v>1980.0700000000002</v>
      </c>
      <c r="I39" s="118">
        <v>400.8</v>
      </c>
    </row>
    <row r="40" spans="1:9" x14ac:dyDescent="0.3">
      <c r="A40" s="78" t="s">
        <v>82</v>
      </c>
      <c r="B40" s="19" t="str">
        <f>A40</f>
        <v>Despesas financeiras</v>
      </c>
      <c r="C40" s="20">
        <v>0</v>
      </c>
      <c r="D40" s="43">
        <v>0</v>
      </c>
      <c r="E40" s="16">
        <f t="shared" si="0"/>
        <v>0</v>
      </c>
      <c r="F40" s="44">
        <v>0</v>
      </c>
      <c r="G40" s="22">
        <f t="shared" si="5"/>
        <v>0</v>
      </c>
      <c r="H40" s="118">
        <v>0</v>
      </c>
      <c r="I40" s="118">
        <v>0</v>
      </c>
    </row>
    <row r="41" spans="1:9" x14ac:dyDescent="0.3">
      <c r="B41" s="26" t="s">
        <v>51</v>
      </c>
      <c r="C41" s="51">
        <f>SUM(C37+C35+C33+C29+C27+C22)</f>
        <v>3233516.4559350284</v>
      </c>
      <c r="D41" s="49">
        <f>SUM(D37+D35+D33+D29+D27+D22)</f>
        <v>2870553.6648320411</v>
      </c>
      <c r="E41" s="30">
        <f t="shared" si="0"/>
        <v>0.12644347867442662</v>
      </c>
      <c r="F41" s="49">
        <f>SUM(F37+F35+F33+F29+F27+F22)</f>
        <v>2980063.24</v>
      </c>
      <c r="G41" s="30">
        <f>IFERROR(C41/F41-1,0)</f>
        <v>8.5049609864999987E-2</v>
      </c>
      <c r="H41" s="142">
        <f t="shared" ref="H41:I41" si="11">SUM(H37+H35+H33+H29+H27+H22)</f>
        <v>2637586.4300000002</v>
      </c>
      <c r="I41" s="142">
        <f t="shared" si="11"/>
        <v>2994233.25</v>
      </c>
    </row>
    <row r="42" spans="1:9" s="32" customFormat="1" x14ac:dyDescent="0.3">
      <c r="D42" s="60">
        <f>D41-D18</f>
        <v>0</v>
      </c>
      <c r="E42" s="60"/>
    </row>
    <row r="43" spans="1:9" x14ac:dyDescent="0.3">
      <c r="B43" s="5"/>
      <c r="D43" s="6"/>
      <c r="E43" s="6"/>
    </row>
  </sheetData>
  <mergeCells count="3">
    <mergeCell ref="B3:B4"/>
    <mergeCell ref="B12:B13"/>
    <mergeCell ref="B20:B21"/>
  </mergeCells>
  <pageMargins left="0.511811024" right="0.511811024" top="0.78740157499999996" bottom="0.78740157499999996" header="0.31496062000000002" footer="0.31496062000000002"/>
  <ignoredErrors>
    <ignoredError sqref="F27 F29 H27:I27 C29:D29 C27:D27 H29:I29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5"/>
  <sheetViews>
    <sheetView showGridLines="0" showRowColHeaders="0" topLeftCell="B35" workbookViewId="0">
      <selection activeCell="C61" sqref="C61"/>
    </sheetView>
  </sheetViews>
  <sheetFormatPr defaultRowHeight="14.4" x14ac:dyDescent="0.3"/>
  <cols>
    <col min="1" max="1" width="22.3320312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321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38" t="str">
        <f>B5</f>
        <v>Relações Esportivas</v>
      </c>
      <c r="B5" s="39" t="s">
        <v>322</v>
      </c>
      <c r="C5" s="40">
        <v>20193526</v>
      </c>
      <c r="D5" s="41">
        <v>15829593.292510616</v>
      </c>
      <c r="E5" s="129">
        <f>IFERROR(C5/D5-1,0)</f>
        <v>0.27568192226101429</v>
      </c>
      <c r="F5" s="42">
        <v>13870597.769999968</v>
      </c>
      <c r="G5" s="133">
        <f>IFERROR(C5/F5-1,0)</f>
        <v>0.45585117057287761</v>
      </c>
      <c r="H5" s="147">
        <v>12592735.009999989</v>
      </c>
      <c r="I5" s="147">
        <v>11537356.880000001</v>
      </c>
    </row>
    <row r="6" spans="1:9" x14ac:dyDescent="0.3">
      <c r="B6" s="46" t="s">
        <v>51</v>
      </c>
      <c r="C6" s="51">
        <f>SUM(C5:C5)</f>
        <v>20193526</v>
      </c>
      <c r="D6" s="28">
        <f>SUM(D5:D5)</f>
        <v>15829593.292510616</v>
      </c>
      <c r="E6" s="121">
        <f t="shared" ref="E6:E38" si="0">IFERROR(C6/D6-1,0)</f>
        <v>0.27568192226101429</v>
      </c>
      <c r="F6" s="49">
        <f>SUM(F5:F5)</f>
        <v>13870597.769999968</v>
      </c>
      <c r="G6" s="122">
        <f t="shared" ref="G6:G38" si="1">IFERROR(C6/F6-1,0)</f>
        <v>0.45585117057287761</v>
      </c>
      <c r="H6" s="150">
        <f t="shared" ref="H6:I6" si="2">SUM(H5:H5)</f>
        <v>12592735.009999989</v>
      </c>
      <c r="I6" s="142">
        <f t="shared" si="2"/>
        <v>11537356.880000001</v>
      </c>
    </row>
    <row r="7" spans="1:9" x14ac:dyDescent="0.3">
      <c r="B7" s="38"/>
      <c r="C7" s="50"/>
      <c r="D7" s="50"/>
      <c r="H7" s="50"/>
      <c r="I7" s="50"/>
    </row>
    <row r="8" spans="1:9" x14ac:dyDescent="0.3">
      <c r="B8" s="202" t="s">
        <v>52</v>
      </c>
      <c r="C8" s="8"/>
      <c r="D8" s="8"/>
      <c r="E8" s="36"/>
      <c r="F8" s="36"/>
      <c r="G8" s="36"/>
      <c r="H8" s="8"/>
      <c r="I8" s="8"/>
    </row>
    <row r="9" spans="1:9" ht="43.2" x14ac:dyDescent="0.3">
      <c r="B9" s="203"/>
      <c r="C9" s="10" t="str">
        <f>'23-Despesas '!C$4</f>
        <v>Orçamento 2026</v>
      </c>
      <c r="D9" s="10" t="str">
        <f>'23-Despesas '!D$4</f>
        <v>Projeção 2025</v>
      </c>
      <c r="E9" s="11" t="s">
        <v>6</v>
      </c>
      <c r="F9" s="37" t="str">
        <f>'23-Despesas '!F$4</f>
        <v>Orçamento 2025</v>
      </c>
      <c r="G9" s="12" t="s">
        <v>8</v>
      </c>
      <c r="H9" s="10" t="s">
        <v>382</v>
      </c>
      <c r="I9" s="10" t="s">
        <v>197</v>
      </c>
    </row>
    <row r="10" spans="1:9" x14ac:dyDescent="0.3">
      <c r="A10" s="115" t="s">
        <v>323</v>
      </c>
      <c r="B10" s="19" t="str">
        <f>A10</f>
        <v>Estúdio de Pilates</v>
      </c>
      <c r="C10" s="20">
        <v>4063500</v>
      </c>
      <c r="D10" s="21">
        <v>3119009.3206463936</v>
      </c>
      <c r="E10" s="16">
        <f t="shared" si="0"/>
        <v>0.30281752385333283</v>
      </c>
      <c r="F10" s="64">
        <v>499349.96</v>
      </c>
      <c r="G10" s="22">
        <f>IFERROR(C10/F10-1,0)</f>
        <v>7.13757950436203</v>
      </c>
      <c r="H10" s="118">
        <v>900421.91</v>
      </c>
      <c r="I10" s="118">
        <v>730718.09</v>
      </c>
    </row>
    <row r="11" spans="1:9" x14ac:dyDescent="0.3">
      <c r="A11" s="115" t="s">
        <v>348</v>
      </c>
      <c r="B11" s="19" t="str">
        <f t="shared" ref="B11:B37" si="3">A11</f>
        <v>Futebol Professores</v>
      </c>
      <c r="C11" s="20">
        <v>3506558.3528073579</v>
      </c>
      <c r="D11" s="118">
        <v>3152785.0437466046</v>
      </c>
      <c r="E11" s="141">
        <f t="shared" si="0"/>
        <v>0.1122097777526716</v>
      </c>
      <c r="F11" s="119">
        <v>2981311.2500000019</v>
      </c>
      <c r="G11" s="22">
        <f>IFERROR(C11/F11-1,0)</f>
        <v>0.17617989493963626</v>
      </c>
      <c r="H11" s="118">
        <v>2981168.1099999989</v>
      </c>
      <c r="I11" s="118">
        <v>2342908.96</v>
      </c>
    </row>
    <row r="12" spans="1:9" x14ac:dyDescent="0.3">
      <c r="A12" s="115" t="s">
        <v>325</v>
      </c>
      <c r="B12" s="19" t="str">
        <f t="shared" si="3"/>
        <v>CAD</v>
      </c>
      <c r="C12" s="20">
        <v>2890820</v>
      </c>
      <c r="D12" s="118">
        <v>2649393.3051501438</v>
      </c>
      <c r="E12" s="141">
        <f t="shared" si="0"/>
        <v>9.1125275503847636E-2</v>
      </c>
      <c r="F12" s="119">
        <v>2613356.7200000011</v>
      </c>
      <c r="G12" s="22">
        <f>IFERROR(C12/F12-1,0)</f>
        <v>0.10617122334527629</v>
      </c>
      <c r="H12" s="118">
        <v>2171971.3699999992</v>
      </c>
      <c r="I12" s="118">
        <v>2226650.1600000006</v>
      </c>
    </row>
    <row r="13" spans="1:9" x14ac:dyDescent="0.3">
      <c r="A13" s="115" t="s">
        <v>326</v>
      </c>
      <c r="B13" s="19" t="str">
        <f t="shared" si="3"/>
        <v>Futebol Menor</v>
      </c>
      <c r="C13" s="20">
        <v>1352500</v>
      </c>
      <c r="D13" s="118">
        <v>860310.53128437861</v>
      </c>
      <c r="E13" s="141">
        <f t="shared" si="0"/>
        <v>0.57210675775503961</v>
      </c>
      <c r="F13" s="119">
        <v>1060260</v>
      </c>
      <c r="G13" s="24">
        <f t="shared" si="1"/>
        <v>0.2756305057250108</v>
      </c>
      <c r="H13" s="118">
        <v>1156335.3999999999</v>
      </c>
      <c r="I13" s="118">
        <v>742886.87999999989</v>
      </c>
    </row>
    <row r="14" spans="1:9" x14ac:dyDescent="0.3">
      <c r="A14" s="115" t="s">
        <v>328</v>
      </c>
      <c r="B14" s="19" t="str">
        <f t="shared" si="3"/>
        <v>Futebol Adulto</v>
      </c>
      <c r="C14" s="20">
        <v>1135500</v>
      </c>
      <c r="D14" s="118">
        <v>728193.10716908879</v>
      </c>
      <c r="E14" s="141">
        <f t="shared" si="0"/>
        <v>0.55933912147884857</v>
      </c>
      <c r="F14" s="119">
        <v>869690</v>
      </c>
      <c r="G14" s="24">
        <f t="shared" si="1"/>
        <v>0.30563764099851665</v>
      </c>
      <c r="H14" s="118">
        <v>663791.71</v>
      </c>
      <c r="I14" s="118">
        <v>637107.13</v>
      </c>
    </row>
    <row r="15" spans="1:9" x14ac:dyDescent="0.3">
      <c r="A15" s="115" t="s">
        <v>327</v>
      </c>
      <c r="B15" s="19" t="str">
        <f t="shared" si="3"/>
        <v>Administração de Relações Esportivas</v>
      </c>
      <c r="C15" s="20">
        <v>984674.08982113807</v>
      </c>
      <c r="D15" s="118">
        <v>861893.18209866865</v>
      </c>
      <c r="E15" s="141">
        <f t="shared" si="0"/>
        <v>0.14245490076102452</v>
      </c>
      <c r="F15" s="119">
        <v>855253.62000000034</v>
      </c>
      <c r="G15" s="22">
        <f t="shared" si="1"/>
        <v>0.15132408304935052</v>
      </c>
      <c r="H15" s="118">
        <v>818075.49000000057</v>
      </c>
      <c r="I15" s="118">
        <v>1044788.9399999998</v>
      </c>
    </row>
    <row r="16" spans="1:9" x14ac:dyDescent="0.3">
      <c r="A16" s="115" t="s">
        <v>329</v>
      </c>
      <c r="B16" s="19" t="str">
        <f t="shared" si="3"/>
        <v>Programa Esporte e Saúde</v>
      </c>
      <c r="C16" s="20">
        <v>813618.92749372846</v>
      </c>
      <c r="D16" s="118">
        <v>618244.6432779344</v>
      </c>
      <c r="E16" s="141">
        <f t="shared" si="0"/>
        <v>0.3160145200448794</v>
      </c>
      <c r="F16" s="119">
        <v>585760.5</v>
      </c>
      <c r="G16" s="24">
        <f t="shared" si="1"/>
        <v>0.38899589080132313</v>
      </c>
      <c r="H16" s="118">
        <v>546789.43000000005</v>
      </c>
      <c r="I16" s="118">
        <v>509896.08000000007</v>
      </c>
    </row>
    <row r="17" spans="1:9" x14ac:dyDescent="0.3">
      <c r="A17" s="115" t="s">
        <v>330</v>
      </c>
      <c r="B17" s="19" t="str">
        <f t="shared" si="3"/>
        <v>Futsal</v>
      </c>
      <c r="C17" s="20">
        <v>720150</v>
      </c>
      <c r="D17" s="118">
        <v>494303.87967884645</v>
      </c>
      <c r="E17" s="141">
        <f t="shared" si="0"/>
        <v>0.45689732491658308</v>
      </c>
      <c r="F17" s="119">
        <v>573470</v>
      </c>
      <c r="G17" s="22">
        <f t="shared" si="1"/>
        <v>0.25577623938479777</v>
      </c>
      <c r="H17" s="118">
        <v>454651.27000000014</v>
      </c>
      <c r="I17" s="118">
        <v>448548.03</v>
      </c>
    </row>
    <row r="18" spans="1:9" x14ac:dyDescent="0.3">
      <c r="A18" s="115" t="s">
        <v>343</v>
      </c>
      <c r="B18" s="19" t="str">
        <f t="shared" si="3"/>
        <v>Escola de Boxe</v>
      </c>
      <c r="C18" s="20">
        <v>566600</v>
      </c>
      <c r="D18" s="118">
        <v>395695.5391717747</v>
      </c>
      <c r="E18" s="141">
        <f t="shared" si="0"/>
        <v>0.43190899039686736</v>
      </c>
      <c r="F18" s="119">
        <v>442554.53</v>
      </c>
      <c r="G18" s="24">
        <f t="shared" si="1"/>
        <v>0.28029420464863386</v>
      </c>
      <c r="H18" s="118">
        <v>362432.80000000005</v>
      </c>
      <c r="I18" s="118">
        <v>429575.6</v>
      </c>
    </row>
    <row r="19" spans="1:9" x14ac:dyDescent="0.3">
      <c r="A19" s="115" t="s">
        <v>331</v>
      </c>
      <c r="B19" s="19" t="str">
        <f t="shared" si="3"/>
        <v>Jiu-Jítsu</v>
      </c>
      <c r="C19" s="20">
        <v>539700</v>
      </c>
      <c r="D19" s="118">
        <v>421775.18632141728</v>
      </c>
      <c r="E19" s="141">
        <f t="shared" si="0"/>
        <v>0.27959163436588974</v>
      </c>
      <c r="F19" s="119">
        <v>450220</v>
      </c>
      <c r="G19" s="24">
        <f t="shared" si="1"/>
        <v>0.19874727910799161</v>
      </c>
      <c r="H19" s="118">
        <v>427428.2099999999</v>
      </c>
      <c r="I19" s="118">
        <v>352703.95000000007</v>
      </c>
    </row>
    <row r="20" spans="1:9" x14ac:dyDescent="0.3">
      <c r="A20" s="115" t="s">
        <v>332</v>
      </c>
      <c r="B20" s="19" t="str">
        <f t="shared" si="3"/>
        <v>Yoga</v>
      </c>
      <c r="C20" s="20">
        <v>536700</v>
      </c>
      <c r="D20" s="118">
        <v>431486.24487036024</v>
      </c>
      <c r="E20" s="141">
        <f t="shared" si="0"/>
        <v>0.24384034573628455</v>
      </c>
      <c r="F20" s="119">
        <v>452550</v>
      </c>
      <c r="G20" s="22">
        <f t="shared" si="1"/>
        <v>0.18594630427577052</v>
      </c>
      <c r="H20" s="118">
        <v>383384.62999999995</v>
      </c>
      <c r="I20" s="118">
        <v>311151.14</v>
      </c>
    </row>
    <row r="21" spans="1:9" x14ac:dyDescent="0.3">
      <c r="A21" s="115" t="s">
        <v>334</v>
      </c>
      <c r="B21" s="19" t="str">
        <f t="shared" si="3"/>
        <v>Corrida de Rua</v>
      </c>
      <c r="C21" s="20">
        <v>484710</v>
      </c>
      <c r="D21" s="118">
        <v>361561.71789677214</v>
      </c>
      <c r="E21" s="141">
        <f t="shared" si="0"/>
        <v>0.34060099841208125</v>
      </c>
      <c r="F21" s="119">
        <v>556153.61999999988</v>
      </c>
      <c r="G21" s="22">
        <f t="shared" si="1"/>
        <v>-0.12846022651079736</v>
      </c>
      <c r="H21" s="118">
        <v>373691.1100000001</v>
      </c>
      <c r="I21" s="118">
        <v>399584.66999999993</v>
      </c>
    </row>
    <row r="22" spans="1:9" x14ac:dyDescent="0.3">
      <c r="A22" s="115" t="s">
        <v>333</v>
      </c>
      <c r="B22" s="19" t="str">
        <f t="shared" si="3"/>
        <v>Ginástica Wellness</v>
      </c>
      <c r="C22" s="20">
        <v>474455.01778268546</v>
      </c>
      <c r="D22" s="118">
        <v>393799.44358695205</v>
      </c>
      <c r="E22" s="141">
        <f t="shared" si="0"/>
        <v>0.20481383483195414</v>
      </c>
      <c r="F22" s="119">
        <v>390478.2099999999</v>
      </c>
      <c r="G22" s="22">
        <f t="shared" si="1"/>
        <v>0.21506144422933504</v>
      </c>
      <c r="H22" s="118">
        <v>364309.50999999983</v>
      </c>
      <c r="I22" s="118">
        <v>330266.67</v>
      </c>
    </row>
    <row r="23" spans="1:9" x14ac:dyDescent="0.3">
      <c r="A23" s="115" t="s">
        <v>335</v>
      </c>
      <c r="B23" s="19" t="str">
        <f t="shared" si="3"/>
        <v>Fitness Aquático</v>
      </c>
      <c r="C23" s="20">
        <v>324950</v>
      </c>
      <c r="D23" s="21">
        <v>264337.42507403879</v>
      </c>
      <c r="E23" s="16">
        <f t="shared" si="0"/>
        <v>0.2293000126977256</v>
      </c>
      <c r="F23" s="64">
        <v>280965.99</v>
      </c>
      <c r="G23" s="22">
        <f t="shared" si="1"/>
        <v>0.15654567301900135</v>
      </c>
      <c r="H23" s="118">
        <v>227360.43</v>
      </c>
      <c r="I23" s="118">
        <v>240220.81000000006</v>
      </c>
    </row>
    <row r="24" spans="1:9" x14ac:dyDescent="0.3">
      <c r="A24" s="115" t="s">
        <v>337</v>
      </c>
      <c r="B24" s="19" t="str">
        <f t="shared" si="3"/>
        <v>Eletroestimulação</v>
      </c>
      <c r="C24" s="20">
        <v>257950</v>
      </c>
      <c r="D24" s="21">
        <v>150191.54976984061</v>
      </c>
      <c r="E24" s="16">
        <f t="shared" si="0"/>
        <v>0.71747345569902321</v>
      </c>
      <c r="F24" s="64">
        <v>9000</v>
      </c>
      <c r="G24" s="22">
        <f t="shared" si="1"/>
        <v>27.661111111111111</v>
      </c>
      <c r="H24" s="118">
        <v>161.4</v>
      </c>
      <c r="I24" s="118">
        <v>14927.5</v>
      </c>
    </row>
    <row r="25" spans="1:9" x14ac:dyDescent="0.3">
      <c r="A25" s="115" t="s">
        <v>336</v>
      </c>
      <c r="B25" s="19" t="str">
        <f t="shared" si="3"/>
        <v>Karatê</v>
      </c>
      <c r="C25" s="20">
        <v>255850</v>
      </c>
      <c r="D25" s="21">
        <v>211722.94541130547</v>
      </c>
      <c r="E25" s="16">
        <f t="shared" si="0"/>
        <v>0.20841885844243624</v>
      </c>
      <c r="F25" s="64">
        <v>252300</v>
      </c>
      <c r="G25" s="22">
        <f t="shared" si="1"/>
        <v>1.4070550931430947E-2</v>
      </c>
      <c r="H25" s="118">
        <v>143979.09999999998</v>
      </c>
      <c r="I25" s="118">
        <v>130203.47000000002</v>
      </c>
    </row>
    <row r="26" spans="1:9" x14ac:dyDescent="0.3">
      <c r="A26" s="115" t="s">
        <v>338</v>
      </c>
      <c r="B26" s="19" t="str">
        <f t="shared" si="3"/>
        <v>Ativas ECP</v>
      </c>
      <c r="C26" s="20">
        <v>255600</v>
      </c>
      <c r="D26" s="21">
        <v>203470.14976170103</v>
      </c>
      <c r="E26" s="16">
        <f t="shared" si="0"/>
        <v>0.25620392130910652</v>
      </c>
      <c r="F26" s="64">
        <v>253400</v>
      </c>
      <c r="G26" s="22">
        <f t="shared" si="1"/>
        <v>8.6819258089976259E-3</v>
      </c>
      <c r="H26" s="118">
        <v>173856.15</v>
      </c>
      <c r="I26" s="118">
        <v>120571.82999999999</v>
      </c>
    </row>
    <row r="27" spans="1:9" x14ac:dyDescent="0.3">
      <c r="A27" s="115" t="s">
        <v>339</v>
      </c>
      <c r="B27" s="19" t="str">
        <f t="shared" si="3"/>
        <v>Fut 7</v>
      </c>
      <c r="C27" s="20">
        <v>210040</v>
      </c>
      <c r="D27" s="21">
        <v>112926.98953833074</v>
      </c>
      <c r="E27" s="16">
        <f t="shared" si="0"/>
        <v>0.85996280303484252</v>
      </c>
      <c r="F27" s="64">
        <v>176200</v>
      </c>
      <c r="G27" s="22">
        <f t="shared" si="1"/>
        <v>0.19205448354143018</v>
      </c>
      <c r="H27" s="118">
        <v>101656.32999999999</v>
      </c>
      <c r="I27" s="118">
        <v>91448.410000000018</v>
      </c>
    </row>
    <row r="28" spans="1:9" x14ac:dyDescent="0.3">
      <c r="A28" s="115" t="s">
        <v>340</v>
      </c>
      <c r="B28" s="19" t="str">
        <f t="shared" si="3"/>
        <v>Futebol Feminino</v>
      </c>
      <c r="C28" s="20">
        <v>195400</v>
      </c>
      <c r="D28" s="21">
        <v>87614.815862692034</v>
      </c>
      <c r="E28" s="16">
        <f t="shared" si="0"/>
        <v>1.2302164089031069</v>
      </c>
      <c r="F28" s="64">
        <v>185899.99</v>
      </c>
      <c r="G28" s="22">
        <f t="shared" si="1"/>
        <v>5.1102799951737499E-2</v>
      </c>
      <c r="H28" s="118">
        <v>79044.149999999994</v>
      </c>
      <c r="I28" s="118">
        <v>79857.960000000006</v>
      </c>
    </row>
    <row r="29" spans="1:9" x14ac:dyDescent="0.3">
      <c r="A29" s="115" t="s">
        <v>324</v>
      </c>
      <c r="B29" s="19" t="str">
        <f t="shared" si="3"/>
        <v>Futebol Base</v>
      </c>
      <c r="C29" s="20">
        <v>132800</v>
      </c>
      <c r="D29" s="21">
        <v>48560.333334934832</v>
      </c>
      <c r="E29" s="16">
        <f t="shared" si="0"/>
        <v>1.7347423479167561</v>
      </c>
      <c r="F29" s="64">
        <v>49648.339999999989</v>
      </c>
      <c r="G29" s="22">
        <f t="shared" si="1"/>
        <v>1.6748124912132014</v>
      </c>
      <c r="H29" s="118">
        <v>75793.159999999974</v>
      </c>
      <c r="I29" s="118">
        <v>167991.65</v>
      </c>
    </row>
    <row r="30" spans="1:9" x14ac:dyDescent="0.3">
      <c r="A30" s="115" t="s">
        <v>341</v>
      </c>
      <c r="B30" s="19" t="str">
        <f t="shared" si="3"/>
        <v>Futebol Soccer Camp</v>
      </c>
      <c r="C30" s="20">
        <v>117500</v>
      </c>
      <c r="D30" s="21">
        <v>48217.637360020381</v>
      </c>
      <c r="E30" s="16">
        <f t="shared" si="0"/>
        <v>1.4368676366840205</v>
      </c>
      <c r="F30" s="64">
        <v>99999.98</v>
      </c>
      <c r="G30" s="22">
        <f t="shared" si="1"/>
        <v>0.17500023500004702</v>
      </c>
      <c r="H30" s="118">
        <v>0</v>
      </c>
      <c r="I30" s="118">
        <v>727.8</v>
      </c>
    </row>
    <row r="31" spans="1:9" x14ac:dyDescent="0.3">
      <c r="A31" s="115" t="s">
        <v>342</v>
      </c>
      <c r="B31" s="19" t="str">
        <f t="shared" si="3"/>
        <v>Remo Indoor</v>
      </c>
      <c r="C31" s="20">
        <v>106200</v>
      </c>
      <c r="D31" s="21">
        <v>47542.879999999997</v>
      </c>
      <c r="E31" s="16">
        <f t="shared" si="0"/>
        <v>1.2337729645322288</v>
      </c>
      <c r="F31" s="64">
        <v>0</v>
      </c>
      <c r="G31" s="22">
        <f t="shared" si="1"/>
        <v>0</v>
      </c>
      <c r="H31" s="118">
        <v>0</v>
      </c>
      <c r="I31" s="118">
        <v>0</v>
      </c>
    </row>
    <row r="32" spans="1:9" x14ac:dyDescent="0.3">
      <c r="A32" s="115" t="s">
        <v>344</v>
      </c>
      <c r="B32" s="19" t="str">
        <f t="shared" si="3"/>
        <v>Yoga Zen</v>
      </c>
      <c r="C32" s="20">
        <v>71350</v>
      </c>
      <c r="D32" s="21">
        <v>54320.304902467906</v>
      </c>
      <c r="E32" s="16">
        <f t="shared" si="0"/>
        <v>0.31350514560087439</v>
      </c>
      <c r="F32" s="64">
        <v>64920</v>
      </c>
      <c r="G32" s="22">
        <f t="shared" si="1"/>
        <v>9.9044978434996933E-2</v>
      </c>
      <c r="H32" s="118">
        <v>53451.640000000007</v>
      </c>
      <c r="I32" s="118">
        <v>39424.92</v>
      </c>
    </row>
    <row r="33" spans="1:9" x14ac:dyDescent="0.3">
      <c r="A33" s="115" t="s">
        <v>345</v>
      </c>
      <c r="B33" s="19" t="str">
        <f t="shared" si="3"/>
        <v>Tae Kwon Do</v>
      </c>
      <c r="C33" s="20">
        <v>58150</v>
      </c>
      <c r="D33" s="21">
        <v>36298.815097582454</v>
      </c>
      <c r="E33" s="16">
        <f t="shared" si="0"/>
        <v>0.60198066641224512</v>
      </c>
      <c r="F33" s="64">
        <v>32900</v>
      </c>
      <c r="G33" s="22">
        <f t="shared" si="1"/>
        <v>0.76747720364741645</v>
      </c>
      <c r="H33" s="118">
        <v>32084.139999999996</v>
      </c>
      <c r="I33" s="118">
        <v>27972.42</v>
      </c>
    </row>
    <row r="34" spans="1:9" x14ac:dyDescent="0.3">
      <c r="A34" s="115" t="s">
        <v>376</v>
      </c>
      <c r="B34" s="19" t="str">
        <f t="shared" si="3"/>
        <v>Futebol PIP</v>
      </c>
      <c r="C34" s="20">
        <v>53000</v>
      </c>
      <c r="D34" s="21">
        <v>0</v>
      </c>
      <c r="E34" s="16">
        <f t="shared" si="0"/>
        <v>0</v>
      </c>
      <c r="F34" s="64">
        <v>0</v>
      </c>
      <c r="G34" s="22">
        <f t="shared" si="1"/>
        <v>0</v>
      </c>
      <c r="H34" s="118">
        <v>0</v>
      </c>
      <c r="I34" s="118">
        <v>0</v>
      </c>
    </row>
    <row r="35" spans="1:9" x14ac:dyDescent="0.3">
      <c r="A35" s="115" t="s">
        <v>346</v>
      </c>
      <c r="B35" s="19" t="str">
        <f>A35</f>
        <v>Manutenção dos Campos de Futebol</v>
      </c>
      <c r="C35" s="20">
        <v>49000</v>
      </c>
      <c r="D35" s="21">
        <v>10970.996513244983</v>
      </c>
      <c r="E35" s="16">
        <f t="shared" si="0"/>
        <v>3.466321718436757</v>
      </c>
      <c r="F35" s="64">
        <v>27200</v>
      </c>
      <c r="G35" s="22">
        <f t="shared" si="1"/>
        <v>0.80147058823529416</v>
      </c>
      <c r="H35" s="118">
        <v>9966.0599999999977</v>
      </c>
      <c r="I35" s="118">
        <v>9011.17</v>
      </c>
    </row>
    <row r="36" spans="1:9" x14ac:dyDescent="0.3">
      <c r="A36" s="115" t="s">
        <v>347</v>
      </c>
      <c r="B36" s="19" t="str">
        <f t="shared" si="3"/>
        <v>Tai Chi Chuan</v>
      </c>
      <c r="C36" s="20">
        <v>36250</v>
      </c>
      <c r="D36" s="21">
        <v>16215.224341296962</v>
      </c>
      <c r="E36" s="16">
        <f t="shared" si="0"/>
        <v>1.2355534056768143</v>
      </c>
      <c r="F36" s="64">
        <v>17755.060000000001</v>
      </c>
      <c r="G36" s="22">
        <f t="shared" si="1"/>
        <v>1.0416715009693012</v>
      </c>
      <c r="H36" s="118">
        <v>14308.3</v>
      </c>
      <c r="I36" s="118">
        <v>12392.640000000001</v>
      </c>
    </row>
    <row r="37" spans="1:9" x14ac:dyDescent="0.3">
      <c r="A37" s="115" t="s">
        <v>349</v>
      </c>
      <c r="B37" s="19" t="str">
        <f t="shared" si="3"/>
        <v>Futebol Soccer Academy</v>
      </c>
      <c r="C37" s="20">
        <v>0</v>
      </c>
      <c r="D37" s="21">
        <v>48752.080643839356</v>
      </c>
      <c r="E37" s="16">
        <f t="shared" si="0"/>
        <v>-1</v>
      </c>
      <c r="F37" s="64">
        <v>90000</v>
      </c>
      <c r="G37" s="22">
        <f t="shared" si="1"/>
        <v>-1</v>
      </c>
      <c r="H37" s="118">
        <v>76623.200000000012</v>
      </c>
      <c r="I37" s="118">
        <v>95820</v>
      </c>
    </row>
    <row r="38" spans="1:9" x14ac:dyDescent="0.3">
      <c r="B38" s="46" t="s">
        <v>51</v>
      </c>
      <c r="C38" s="51">
        <f>SUM(C10:C37)</f>
        <v>20193526.387904909</v>
      </c>
      <c r="D38" s="28">
        <f>SUM(D10:D37)</f>
        <v>15829593.292510632</v>
      </c>
      <c r="E38" s="121">
        <f t="shared" si="0"/>
        <v>0.27568194676605873</v>
      </c>
      <c r="F38" s="28">
        <f>SUM(F10:F37)</f>
        <v>13870597.770000003</v>
      </c>
      <c r="G38" s="122">
        <f t="shared" si="1"/>
        <v>0.45585119853885758</v>
      </c>
      <c r="H38" s="150">
        <f t="shared" ref="H38:I38" si="4">SUM(H10:H37)</f>
        <v>12592735.010000002</v>
      </c>
      <c r="I38" s="142">
        <f t="shared" si="4"/>
        <v>11537356.880000003</v>
      </c>
    </row>
    <row r="39" spans="1:9" x14ac:dyDescent="0.3">
      <c r="B39" s="38"/>
      <c r="C39" s="50"/>
      <c r="D39" s="50"/>
      <c r="H39" s="50"/>
      <c r="I39" s="50"/>
    </row>
    <row r="40" spans="1:9" x14ac:dyDescent="0.3">
      <c r="B40" s="202" t="s">
        <v>56</v>
      </c>
      <c r="C40" s="8"/>
      <c r="D40" s="8"/>
      <c r="E40" s="36"/>
      <c r="F40" s="36"/>
      <c r="G40" s="36"/>
      <c r="H40" s="8"/>
      <c r="I40" s="8"/>
    </row>
    <row r="41" spans="1:9" ht="43.2" x14ac:dyDescent="0.3">
      <c r="B41" s="203"/>
      <c r="C41" s="10" t="str">
        <f>'23-Despesas '!C$4</f>
        <v>Orçamento 2026</v>
      </c>
      <c r="D41" s="10" t="str">
        <f>'23-Despesas '!D$4</f>
        <v>Projeção 2025</v>
      </c>
      <c r="E41" s="11" t="s">
        <v>6</v>
      </c>
      <c r="F41" s="37" t="str">
        <f>'23-Despesas '!F$4</f>
        <v>Orçamento 2025</v>
      </c>
      <c r="G41" s="12" t="s">
        <v>8</v>
      </c>
      <c r="H41" s="10" t="s">
        <v>382</v>
      </c>
      <c r="I41" s="10" t="s">
        <v>197</v>
      </c>
    </row>
    <row r="42" spans="1:9" x14ac:dyDescent="0.3">
      <c r="B42" s="39" t="s">
        <v>57</v>
      </c>
      <c r="C42" s="53">
        <f>SUM(C43:C46)</f>
        <v>7165089.9582466781</v>
      </c>
      <c r="D42" s="65">
        <f>SUM(D43:D46)</f>
        <v>6615123.826652809</v>
      </c>
      <c r="E42" s="129">
        <f t="shared" ref="E42:E65" si="5">IFERROR(C42/D42-1,0)</f>
        <v>8.3137692657847984E-2</v>
      </c>
      <c r="F42" s="55">
        <f>SUM(F43:F46)</f>
        <v>6344546.0699999956</v>
      </c>
      <c r="G42" s="130">
        <f t="shared" ref="G42:G65" si="6">IFERROR(C42/F42-1,0)</f>
        <v>0.12933059027289606</v>
      </c>
      <c r="H42" s="151">
        <f t="shared" ref="H42:I42" si="7">SUM(H43:H46)</f>
        <v>6520281.7200000035</v>
      </c>
      <c r="I42" s="151">
        <f t="shared" si="7"/>
        <v>5769562.7800000003</v>
      </c>
    </row>
    <row r="43" spans="1:9" x14ac:dyDescent="0.3">
      <c r="A43" s="85" t="s">
        <v>58</v>
      </c>
      <c r="B43" s="19" t="str">
        <f>A43</f>
        <v>Salários e provisões</v>
      </c>
      <c r="C43" s="204">
        <v>4378791</v>
      </c>
      <c r="D43" s="43">
        <v>4263784.8981302883</v>
      </c>
      <c r="E43" s="16">
        <f t="shared" si="5"/>
        <v>2.6972772927673416E-2</v>
      </c>
      <c r="F43" s="44">
        <v>4108997.0899999966</v>
      </c>
      <c r="G43" s="22">
        <f t="shared" si="6"/>
        <v>6.5659309094327822E-2</v>
      </c>
      <c r="H43" s="118">
        <v>4265789.7400000021</v>
      </c>
      <c r="I43" s="118">
        <v>3751512.2100000009</v>
      </c>
    </row>
    <row r="44" spans="1:9" x14ac:dyDescent="0.3">
      <c r="A44" s="85" t="s">
        <v>59</v>
      </c>
      <c r="B44" s="19" t="str">
        <f>A44</f>
        <v>Encargos sociais</v>
      </c>
      <c r="C44" s="20">
        <v>1544185.1505488199</v>
      </c>
      <c r="D44" s="43">
        <v>1504722.9956462802</v>
      </c>
      <c r="E44" s="16">
        <f t="shared" si="5"/>
        <v>2.6225527898967593E-2</v>
      </c>
      <c r="F44" s="44">
        <v>1441875.9799999991</v>
      </c>
      <c r="G44" s="22">
        <f t="shared" si="6"/>
        <v>7.0955596714233904E-2</v>
      </c>
      <c r="H44" s="118">
        <v>1443694.0800000008</v>
      </c>
      <c r="I44" s="118">
        <v>1288630.0799999998</v>
      </c>
    </row>
    <row r="45" spans="1:9" x14ac:dyDescent="0.3">
      <c r="A45" s="85" t="s">
        <v>60</v>
      </c>
      <c r="B45" s="19" t="str">
        <f>A45</f>
        <v>Benefícios</v>
      </c>
      <c r="C45" s="20">
        <v>981248.069697859</v>
      </c>
      <c r="D45" s="43">
        <v>644386.75859072723</v>
      </c>
      <c r="E45" s="16">
        <f t="shared" si="5"/>
        <v>0.52276262138571394</v>
      </c>
      <c r="F45" s="44">
        <v>598065.2000000003</v>
      </c>
      <c r="G45" s="22">
        <f t="shared" si="6"/>
        <v>0.64070417355475384</v>
      </c>
      <c r="H45" s="118">
        <v>635659.85000000044</v>
      </c>
      <c r="I45" s="118">
        <v>553313.17999999993</v>
      </c>
    </row>
    <row r="46" spans="1:9" x14ac:dyDescent="0.3">
      <c r="A46" s="85" t="s">
        <v>61</v>
      </c>
      <c r="B46" s="19" t="str">
        <f>A46</f>
        <v>Outros</v>
      </c>
      <c r="C46" s="20">
        <v>260865.7380000001</v>
      </c>
      <c r="D46" s="43">
        <v>202229.1742855137</v>
      </c>
      <c r="E46" s="16">
        <f t="shared" si="5"/>
        <v>0.28995106132264281</v>
      </c>
      <c r="F46" s="44">
        <v>195607.8000000001</v>
      </c>
      <c r="G46" s="22">
        <f t="shared" si="6"/>
        <v>0.33361623616236136</v>
      </c>
      <c r="H46" s="118">
        <v>175138.04999999996</v>
      </c>
      <c r="I46" s="118">
        <v>176107.31</v>
      </c>
    </row>
    <row r="47" spans="1:9" x14ac:dyDescent="0.3">
      <c r="B47" s="39" t="s">
        <v>62</v>
      </c>
      <c r="C47" s="53">
        <f>SUM(C48:C50)</f>
        <v>9512517</v>
      </c>
      <c r="D47" s="65">
        <f>SUM(D48:D50)</f>
        <v>7395202.355720981</v>
      </c>
      <c r="E47" s="131">
        <f t="shared" si="5"/>
        <v>0.28630922352531019</v>
      </c>
      <c r="F47" s="55">
        <f>SUM(F48:F50)</f>
        <v>4950803.0900000008</v>
      </c>
      <c r="G47" s="132">
        <f t="shared" si="6"/>
        <v>0.92140887590825149</v>
      </c>
      <c r="H47" s="151">
        <f t="shared" ref="H47:I47" si="8">SUM(H48:H50)</f>
        <v>4403117.9600000028</v>
      </c>
      <c r="I47" s="151">
        <f t="shared" si="8"/>
        <v>4150477.7400000007</v>
      </c>
    </row>
    <row r="48" spans="1:9" s="38" customFormat="1" x14ac:dyDescent="0.3">
      <c r="A48" s="85" t="s">
        <v>63</v>
      </c>
      <c r="B48" s="19" t="str">
        <f>A48</f>
        <v>Serviços contratados</v>
      </c>
      <c r="C48" s="20">
        <v>9398650</v>
      </c>
      <c r="D48" s="43">
        <v>7301083.0372345317</v>
      </c>
      <c r="E48" s="127">
        <f t="shared" si="5"/>
        <v>0.2872953166082568</v>
      </c>
      <c r="F48" s="44">
        <v>4812813.4700000007</v>
      </c>
      <c r="G48" s="128">
        <f t="shared" si="6"/>
        <v>0.95283903242566326</v>
      </c>
      <c r="H48" s="118">
        <v>4311327.1600000029</v>
      </c>
      <c r="I48" s="118">
        <v>3989883.3100000005</v>
      </c>
    </row>
    <row r="49" spans="1:9" s="38" customFormat="1" x14ac:dyDescent="0.3">
      <c r="A49" s="85" t="s">
        <v>135</v>
      </c>
      <c r="B49" s="19" t="str">
        <f>A49</f>
        <v>Despesas com atletas</v>
      </c>
      <c r="C49" s="20">
        <v>49500</v>
      </c>
      <c r="D49" s="43">
        <v>23191.695022941942</v>
      </c>
      <c r="E49" s="127">
        <f t="shared" si="5"/>
        <v>1.134384742082589</v>
      </c>
      <c r="F49" s="44">
        <v>28600</v>
      </c>
      <c r="G49" s="128">
        <f t="shared" si="6"/>
        <v>0.73076923076923084</v>
      </c>
      <c r="H49" s="118">
        <v>21776.04</v>
      </c>
      <c r="I49" s="118">
        <v>21560</v>
      </c>
    </row>
    <row r="50" spans="1:9" s="38" customFormat="1" x14ac:dyDescent="0.3">
      <c r="A50" s="85" t="s">
        <v>100</v>
      </c>
      <c r="B50" s="19" t="str">
        <f>A50</f>
        <v>Encargos sobre serviços contratados</v>
      </c>
      <c r="C50" s="20">
        <v>64367</v>
      </c>
      <c r="D50" s="43">
        <v>70927.623463507305</v>
      </c>
      <c r="E50" s="124">
        <f t="shared" si="5"/>
        <v>-9.2497438136818211E-2</v>
      </c>
      <c r="F50" s="44">
        <v>109389.61999999998</v>
      </c>
      <c r="G50" s="126">
        <f t="shared" si="6"/>
        <v>-0.41158036749739135</v>
      </c>
      <c r="H50" s="118">
        <v>70014.760000000009</v>
      </c>
      <c r="I50" s="118">
        <v>139034.43</v>
      </c>
    </row>
    <row r="51" spans="1:9" x14ac:dyDescent="0.3">
      <c r="B51" s="39" t="s">
        <v>64</v>
      </c>
      <c r="C51" s="53">
        <f>SUM(C52:C54)</f>
        <v>2633280</v>
      </c>
      <c r="D51" s="65">
        <f>SUM(D52:D54)</f>
        <v>1267383.189237539</v>
      </c>
      <c r="E51" s="129">
        <f t="shared" si="5"/>
        <v>1.0777299417898925</v>
      </c>
      <c r="F51" s="55">
        <f>SUM(F52:F54)</f>
        <v>1842744.1800000002</v>
      </c>
      <c r="G51" s="130">
        <f t="shared" si="6"/>
        <v>0.4289992222360457</v>
      </c>
      <c r="H51" s="151">
        <f t="shared" ref="H51:I51" si="9">SUM(H52:H54)</f>
        <v>1343753.46</v>
      </c>
      <c r="I51" s="151">
        <f t="shared" si="9"/>
        <v>1214911.28</v>
      </c>
    </row>
    <row r="52" spans="1:9" x14ac:dyDescent="0.3">
      <c r="A52" s="85" t="s">
        <v>67</v>
      </c>
      <c r="B52" s="19" t="str">
        <f>A52</f>
        <v>Mercadoria de uso geral</v>
      </c>
      <c r="C52" s="20">
        <v>1574450</v>
      </c>
      <c r="D52" s="43">
        <v>724680.53534556169</v>
      </c>
      <c r="E52" s="16">
        <f t="shared" si="5"/>
        <v>1.1726125143532777</v>
      </c>
      <c r="F52" s="44">
        <v>1199092.3900000001</v>
      </c>
      <c r="G52" s="22">
        <f t="shared" si="6"/>
        <v>0.31303476957267651</v>
      </c>
      <c r="H52" s="118">
        <v>916718.10999999987</v>
      </c>
      <c r="I52" s="118">
        <v>797874.65999999992</v>
      </c>
    </row>
    <row r="53" spans="1:9" x14ac:dyDescent="0.3">
      <c r="A53" s="85" t="s">
        <v>66</v>
      </c>
      <c r="B53" s="19" t="str">
        <f>A53</f>
        <v>Mercadoria de revenda e consumo</v>
      </c>
      <c r="C53" s="20">
        <v>804730</v>
      </c>
      <c r="D53" s="43">
        <v>458195.74997401005</v>
      </c>
      <c r="E53" s="16">
        <f t="shared" si="5"/>
        <v>0.75630175540835154</v>
      </c>
      <c r="F53" s="44">
        <v>523266.74999999994</v>
      </c>
      <c r="G53" s="22">
        <f t="shared" si="6"/>
        <v>0.53789630241172426</v>
      </c>
      <c r="H53" s="118">
        <v>346039.54000000004</v>
      </c>
      <c r="I53" s="118">
        <v>326827.06</v>
      </c>
    </row>
    <row r="54" spans="1:9" x14ac:dyDescent="0.3">
      <c r="A54" s="85" t="s">
        <v>65</v>
      </c>
      <c r="B54" s="19" t="str">
        <f>A54</f>
        <v>Material de consumo geral</v>
      </c>
      <c r="C54" s="20">
        <v>254100</v>
      </c>
      <c r="D54" s="43">
        <v>84506.903917967051</v>
      </c>
      <c r="E54" s="16">
        <f t="shared" si="5"/>
        <v>2.0068549221334764</v>
      </c>
      <c r="F54" s="44">
        <v>120385.04</v>
      </c>
      <c r="G54" s="22">
        <f t="shared" si="6"/>
        <v>1.1107273794152497</v>
      </c>
      <c r="H54" s="118">
        <v>80995.810000000012</v>
      </c>
      <c r="I54" s="118">
        <v>90209.56</v>
      </c>
    </row>
    <row r="55" spans="1:9" s="45" customFormat="1" hidden="1" x14ac:dyDescent="0.3">
      <c r="B55" s="61" t="s">
        <v>68</v>
      </c>
      <c r="C55" s="40">
        <f>SUM(C56)</f>
        <v>0</v>
      </c>
      <c r="D55" s="62">
        <f>SUM(D56)</f>
        <v>0</v>
      </c>
      <c r="E55" s="16">
        <f t="shared" si="5"/>
        <v>0</v>
      </c>
      <c r="F55" s="63">
        <f>SUM(F56)</f>
        <v>0</v>
      </c>
      <c r="G55" s="22">
        <f t="shared" si="6"/>
        <v>0</v>
      </c>
      <c r="H55" s="147">
        <f t="shared" ref="H55:I55" si="10">SUM(H56)</f>
        <v>0</v>
      </c>
      <c r="I55" s="147">
        <f t="shared" si="10"/>
        <v>0</v>
      </c>
    </row>
    <row r="56" spans="1:9" hidden="1" x14ac:dyDescent="0.3">
      <c r="B56" s="19" t="s">
        <v>68</v>
      </c>
      <c r="C56" s="20">
        <v>0</v>
      </c>
      <c r="D56" s="21"/>
      <c r="E56" s="16">
        <f t="shared" si="5"/>
        <v>0</v>
      </c>
      <c r="F56" s="44">
        <v>0</v>
      </c>
      <c r="G56" s="22">
        <f t="shared" si="6"/>
        <v>0</v>
      </c>
      <c r="H56" s="118">
        <v>0</v>
      </c>
      <c r="I56" s="118">
        <v>0</v>
      </c>
    </row>
    <row r="57" spans="1:9" hidden="1" x14ac:dyDescent="0.3">
      <c r="B57" s="39" t="s">
        <v>69</v>
      </c>
      <c r="C57" s="53">
        <f>SUM(C58)</f>
        <v>0</v>
      </c>
      <c r="D57" s="65">
        <f>SUM(D58)</f>
        <v>0</v>
      </c>
      <c r="E57" s="16">
        <f t="shared" si="5"/>
        <v>0</v>
      </c>
      <c r="F57" s="55">
        <f>SUM(F58)</f>
        <v>0</v>
      </c>
      <c r="G57" s="22">
        <f t="shared" si="6"/>
        <v>0</v>
      </c>
      <c r="H57" s="151">
        <f t="shared" ref="H57:I57" si="11">SUM(H58)</f>
        <v>0</v>
      </c>
      <c r="I57" s="151">
        <f t="shared" si="11"/>
        <v>0</v>
      </c>
    </row>
    <row r="58" spans="1:9" hidden="1" x14ac:dyDescent="0.3">
      <c r="B58" s="19" t="s">
        <v>70</v>
      </c>
      <c r="C58" s="20"/>
      <c r="D58" s="21"/>
      <c r="E58" s="16">
        <f t="shared" si="5"/>
        <v>0</v>
      </c>
      <c r="F58" s="44"/>
      <c r="G58" s="22">
        <f t="shared" si="6"/>
        <v>0</v>
      </c>
      <c r="H58" s="118"/>
      <c r="I58" s="118"/>
    </row>
    <row r="59" spans="1:9" x14ac:dyDescent="0.3">
      <c r="B59" s="39" t="s">
        <v>71</v>
      </c>
      <c r="C59" s="53">
        <f>SUM(C60:C62)</f>
        <v>882640</v>
      </c>
      <c r="D59" s="65">
        <f>SUM(D60:D62)</f>
        <v>551883.92089930503</v>
      </c>
      <c r="E59" s="131">
        <f t="shared" si="5"/>
        <v>0.59932182579576132</v>
      </c>
      <c r="F59" s="55">
        <f>SUM(F60:F62)</f>
        <v>730334.31</v>
      </c>
      <c r="G59" s="132">
        <f t="shared" si="6"/>
        <v>0.20854242764522457</v>
      </c>
      <c r="H59" s="151">
        <f t="shared" ref="H59:I59" si="12">SUM(H60:H62)</f>
        <v>323515.08999999997</v>
      </c>
      <c r="I59" s="151">
        <f t="shared" si="12"/>
        <v>402405.07999999996</v>
      </c>
    </row>
    <row r="60" spans="1:9" x14ac:dyDescent="0.3">
      <c r="A60" s="85" t="s">
        <v>72</v>
      </c>
      <c r="B60" s="19" t="str">
        <f>A60</f>
        <v>Locomoções gerais - viagens - estadias</v>
      </c>
      <c r="C60" s="20">
        <v>293110</v>
      </c>
      <c r="D60" s="43">
        <v>122039.42177633574</v>
      </c>
      <c r="E60" s="127">
        <f t="shared" si="5"/>
        <v>1.4017649029605281</v>
      </c>
      <c r="F60" s="44">
        <v>275070</v>
      </c>
      <c r="G60" s="128">
        <f t="shared" si="6"/>
        <v>6.5583306067546365E-2</v>
      </c>
      <c r="H60" s="118">
        <v>151933.62</v>
      </c>
      <c r="I60" s="118">
        <v>99811.26</v>
      </c>
    </row>
    <row r="61" spans="1:9" x14ac:dyDescent="0.3">
      <c r="A61" s="85" t="s">
        <v>73</v>
      </c>
      <c r="B61" s="19" t="str">
        <f>A61</f>
        <v>Outros gastos gerais</v>
      </c>
      <c r="C61" s="20">
        <v>589530</v>
      </c>
      <c r="D61" s="43">
        <v>429137.14912296931</v>
      </c>
      <c r="E61" s="127">
        <f t="shared" si="5"/>
        <v>0.37375662117536712</v>
      </c>
      <c r="F61" s="44">
        <v>455264.31</v>
      </c>
      <c r="G61" s="128">
        <f t="shared" si="6"/>
        <v>0.2949181103170595</v>
      </c>
      <c r="H61" s="118">
        <v>170275.61000000002</v>
      </c>
      <c r="I61" s="118">
        <v>298576.61999999994</v>
      </c>
    </row>
    <row r="62" spans="1:9" x14ac:dyDescent="0.3">
      <c r="A62" s="85" t="s">
        <v>82</v>
      </c>
      <c r="B62" s="19" t="str">
        <f>A62</f>
        <v>Despesas financeiras</v>
      </c>
      <c r="C62" s="20">
        <v>0</v>
      </c>
      <c r="D62" s="43">
        <v>707.34999999999991</v>
      </c>
      <c r="E62" s="124">
        <f t="shared" si="5"/>
        <v>-1</v>
      </c>
      <c r="F62" s="44">
        <v>0</v>
      </c>
      <c r="G62" s="126">
        <f t="shared" si="6"/>
        <v>0</v>
      </c>
      <c r="H62" s="118">
        <v>1305.8600000000001</v>
      </c>
      <c r="I62" s="118">
        <v>4017.2000000000003</v>
      </c>
    </row>
    <row r="63" spans="1:9" s="45" customFormat="1" x14ac:dyDescent="0.3">
      <c r="B63" s="39" t="s">
        <v>83</v>
      </c>
      <c r="C63" s="53">
        <f>SUM(C64)</f>
        <v>0</v>
      </c>
      <c r="D63" s="65">
        <f>SUM(D64)</f>
        <v>0</v>
      </c>
      <c r="E63" s="129">
        <f t="shared" si="5"/>
        <v>0</v>
      </c>
      <c r="F63" s="55">
        <f>SUM(F64)</f>
        <v>2170.12</v>
      </c>
      <c r="G63" s="130">
        <f t="shared" si="6"/>
        <v>-1</v>
      </c>
      <c r="H63" s="151">
        <f t="shared" ref="H63:I63" si="13">SUM(H64)</f>
        <v>2066.7800000000002</v>
      </c>
      <c r="I63" s="151">
        <f t="shared" si="13"/>
        <v>0</v>
      </c>
    </row>
    <row r="64" spans="1:9" x14ac:dyDescent="0.3">
      <c r="A64" s="85" t="s">
        <v>83</v>
      </c>
      <c r="B64" s="19" t="str">
        <f>A64</f>
        <v>Tributários fiscais e taxas</v>
      </c>
      <c r="C64" s="20">
        <v>0</v>
      </c>
      <c r="D64" s="43">
        <v>0</v>
      </c>
      <c r="E64" s="16">
        <f t="shared" si="5"/>
        <v>0</v>
      </c>
      <c r="F64" s="44">
        <v>2170.12</v>
      </c>
      <c r="G64" s="22">
        <f t="shared" si="6"/>
        <v>-1</v>
      </c>
      <c r="H64" s="118">
        <v>2066.7800000000002</v>
      </c>
      <c r="I64" s="118">
        <v>0</v>
      </c>
    </row>
    <row r="65" spans="2:9" x14ac:dyDescent="0.3">
      <c r="B65" s="26" t="s">
        <v>51</v>
      </c>
      <c r="C65" s="51">
        <f>SUM(C59+C57+C55+C51+C47+C42+C63)</f>
        <v>20193526.958246678</v>
      </c>
      <c r="D65" s="28">
        <f>SUM(D59+D57+D55+D51+D47+D42+D63)</f>
        <v>15829593.292510632</v>
      </c>
      <c r="E65" s="121">
        <f t="shared" si="5"/>
        <v>0.27568198279615497</v>
      </c>
      <c r="F65" s="28">
        <f>SUM(F59+F57+F55+F51+F47+F42+F63)</f>
        <v>13870597.769999996</v>
      </c>
      <c r="G65" s="122">
        <f t="shared" si="6"/>
        <v>0.45585123965761754</v>
      </c>
      <c r="H65" s="150">
        <f t="shared" ref="H65:I65" si="14">SUM(H59+H57+H55+H51+H47+H42+H63)</f>
        <v>12592735.010000005</v>
      </c>
      <c r="I65" s="142">
        <f t="shared" si="14"/>
        <v>11537356.880000001</v>
      </c>
    </row>
  </sheetData>
  <mergeCells count="3">
    <mergeCell ref="B3:B4"/>
    <mergeCell ref="B8:B9"/>
    <mergeCell ref="B40:B41"/>
  </mergeCells>
  <pageMargins left="0.511811024" right="0.511811024" top="0.78740157499999996" bottom="0.78740157499999996" header="0.31496062000000002" footer="0.31496062000000002"/>
  <ignoredErrors>
    <ignoredError sqref="F47 F51 F55:F59 F63 C63:D63 C55:D59 C51:D51 C47:D47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2"/>
  <sheetViews>
    <sheetView showGridLines="0" showRowColHeaders="0" topLeftCell="B1" workbookViewId="0">
      <selection activeCell="I2" sqref="I2"/>
    </sheetView>
  </sheetViews>
  <sheetFormatPr defaultColWidth="9.109375" defaultRowHeight="14.4" x14ac:dyDescent="0.3"/>
  <cols>
    <col min="1" max="1" width="24.1093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350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Relações Institucionais</v>
      </c>
      <c r="B5" s="39" t="s">
        <v>351</v>
      </c>
      <c r="C5" s="40">
        <v>293469.20555158862</v>
      </c>
      <c r="D5" s="41">
        <v>137177.46535485267</v>
      </c>
      <c r="E5" s="129">
        <f>IFERROR(C5/D5-1,0)</f>
        <v>1.1393397581187128</v>
      </c>
      <c r="F5" s="42">
        <v>176834.08999999988</v>
      </c>
      <c r="G5" s="133">
        <f>IFERROR(C5/F5-1,0)</f>
        <v>0.65957370296411066</v>
      </c>
      <c r="H5" s="147">
        <v>39930.360000000015</v>
      </c>
      <c r="I5" s="147">
        <v>0</v>
      </c>
    </row>
    <row r="6" spans="1:9" x14ac:dyDescent="0.3">
      <c r="B6" s="46" t="s">
        <v>51</v>
      </c>
      <c r="C6" s="51">
        <f>SUM(C5)</f>
        <v>293469.20555158862</v>
      </c>
      <c r="D6" s="49">
        <f>SUM(D5)</f>
        <v>137177.46535485267</v>
      </c>
      <c r="E6" s="121">
        <f t="shared" ref="E6:E32" si="0">IFERROR(C6/D6-1,0)</f>
        <v>1.1393397581187128</v>
      </c>
      <c r="F6" s="49">
        <f>SUM(F5)</f>
        <v>176834.08999999988</v>
      </c>
      <c r="G6" s="122">
        <f t="shared" ref="G6:G32" si="1">IFERROR(C6/F6-1,0)</f>
        <v>0.65957370296411066</v>
      </c>
      <c r="H6" s="150">
        <f t="shared" ref="H6:I6" si="2">SUM(H5)</f>
        <v>39930.360000000015</v>
      </c>
      <c r="I6" s="142">
        <f t="shared" si="2"/>
        <v>0</v>
      </c>
    </row>
    <row r="7" spans="1:9" x14ac:dyDescent="0.3">
      <c r="B7" s="38"/>
      <c r="C7" s="50"/>
      <c r="D7" s="50"/>
      <c r="H7" s="50"/>
      <c r="I7" s="50"/>
    </row>
    <row r="8" spans="1:9" x14ac:dyDescent="0.3">
      <c r="B8" s="202" t="s">
        <v>52</v>
      </c>
      <c r="C8" s="8"/>
      <c r="D8" s="8"/>
      <c r="E8" s="36"/>
      <c r="F8" s="36"/>
      <c r="G8" s="36"/>
      <c r="H8" s="8"/>
      <c r="I8" s="8"/>
    </row>
    <row r="9" spans="1:9" ht="43.2" x14ac:dyDescent="0.3">
      <c r="B9" s="203"/>
      <c r="C9" s="10" t="str">
        <f>'23-Despesas '!C$4</f>
        <v>Orçamento 2026</v>
      </c>
      <c r="D9" s="10" t="str">
        <f>'23-Despesas '!D$4</f>
        <v>Projeção 2025</v>
      </c>
      <c r="E9" s="11" t="s">
        <v>6</v>
      </c>
      <c r="F9" s="37" t="str">
        <f>'23-Despesas '!F$4</f>
        <v>Orçamento 2025</v>
      </c>
      <c r="G9" s="12" t="s">
        <v>8</v>
      </c>
      <c r="H9" s="10" t="str">
        <f>'23-Despesas '!F$4</f>
        <v>Orçamento 2025</v>
      </c>
      <c r="I9" s="10" t="str">
        <f>'23-Despesas '!G$4</f>
        <v>Variação
Orç 2026 vs Orç 2025</v>
      </c>
    </row>
    <row r="10" spans="1:9" x14ac:dyDescent="0.3">
      <c r="A10">
        <v>100050</v>
      </c>
      <c r="B10" s="19" t="s">
        <v>351</v>
      </c>
      <c r="C10" s="20">
        <f>C5</f>
        <v>293469.20555158862</v>
      </c>
      <c r="D10" s="43">
        <f>D5</f>
        <v>137177.46535485267</v>
      </c>
      <c r="E10" s="16">
        <f t="shared" si="0"/>
        <v>1.1393397581187128</v>
      </c>
      <c r="F10" s="44">
        <f>F5</f>
        <v>176834.08999999988</v>
      </c>
      <c r="G10" s="22">
        <f>IFERROR(C10/F10-1,0)</f>
        <v>0.65957370296411066</v>
      </c>
      <c r="H10" s="118">
        <f t="shared" ref="H10:I10" si="3">H5</f>
        <v>39930.360000000015</v>
      </c>
      <c r="I10" s="118">
        <f t="shared" si="3"/>
        <v>0</v>
      </c>
    </row>
    <row r="11" spans="1:9" x14ac:dyDescent="0.3">
      <c r="B11" s="46" t="s">
        <v>51</v>
      </c>
      <c r="C11" s="51">
        <f>SUM(C10:C10)</f>
        <v>293469.20555158862</v>
      </c>
      <c r="D11" s="28">
        <f>SUM(D10:D10)</f>
        <v>137177.46535485267</v>
      </c>
      <c r="E11" s="121">
        <f t="shared" si="0"/>
        <v>1.1393397581187128</v>
      </c>
      <c r="F11" s="28">
        <f>SUM(F10:F10)</f>
        <v>176834.08999999988</v>
      </c>
      <c r="G11" s="122">
        <f>IFERROR(C11/F11-1,0)</f>
        <v>0.65957370296411066</v>
      </c>
      <c r="H11" s="150">
        <f t="shared" ref="H11:I11" si="4">SUM(H10:H10)</f>
        <v>39930.360000000015</v>
      </c>
      <c r="I11" s="142">
        <f t="shared" si="4"/>
        <v>0</v>
      </c>
    </row>
    <row r="12" spans="1:9" x14ac:dyDescent="0.3">
      <c r="B12" s="38"/>
      <c r="C12" s="50"/>
      <c r="D12" s="50"/>
      <c r="H12" s="50"/>
      <c r="I12" s="50"/>
    </row>
    <row r="13" spans="1:9" x14ac:dyDescent="0.3">
      <c r="B13" s="202" t="s">
        <v>56</v>
      </c>
      <c r="C13" s="8"/>
      <c r="D13" s="8"/>
      <c r="E13" s="36"/>
      <c r="F13" s="36"/>
      <c r="G13" s="36"/>
      <c r="H13" s="8"/>
      <c r="I13" s="8"/>
    </row>
    <row r="14" spans="1:9" ht="43.2" x14ac:dyDescent="0.3">
      <c r="B14" s="203"/>
      <c r="C14" s="10" t="str">
        <f>'23-Despesas '!C$4</f>
        <v>Orçamento 2026</v>
      </c>
      <c r="D14" s="10" t="str">
        <f>'23-Despesas '!D$4</f>
        <v>Projeção 2025</v>
      </c>
      <c r="E14" s="11" t="s">
        <v>6</v>
      </c>
      <c r="F14" s="37" t="str">
        <f>'23-Despesas '!F$4</f>
        <v>Orçamento 2025</v>
      </c>
      <c r="G14" s="12" t="s">
        <v>8</v>
      </c>
      <c r="H14" s="10" t="str">
        <f>'23-Despesas '!F$4</f>
        <v>Orçamento 2025</v>
      </c>
      <c r="I14" s="10" t="str">
        <f>'23-Despesas '!G$4</f>
        <v>Variação
Orç 2026 vs Orç 2025</v>
      </c>
    </row>
    <row r="15" spans="1:9" x14ac:dyDescent="0.3">
      <c r="B15" s="39" t="s">
        <v>57</v>
      </c>
      <c r="C15" s="53">
        <f>SUM(C16:C18)</f>
        <v>118543.09555158875</v>
      </c>
      <c r="D15" s="54">
        <f>SUM(D16:D18)</f>
        <v>106835.39749364198</v>
      </c>
      <c r="E15" s="129">
        <f t="shared" si="0"/>
        <v>0.10958632000824919</v>
      </c>
      <c r="F15" s="55">
        <f>SUM(F16:F18)</f>
        <v>93834.050000000032</v>
      </c>
      <c r="G15" s="130">
        <f t="shared" si="1"/>
        <v>0.26332707105351094</v>
      </c>
      <c r="H15" s="151">
        <f t="shared" ref="H15:I15" si="5">SUM(H16:H18)</f>
        <v>39930.36</v>
      </c>
      <c r="I15" s="151">
        <f t="shared" si="5"/>
        <v>0</v>
      </c>
    </row>
    <row r="16" spans="1:9" x14ac:dyDescent="0.3">
      <c r="A16" s="85" t="s">
        <v>58</v>
      </c>
      <c r="B16" s="19" t="str">
        <f>A16</f>
        <v>Salários e provisões</v>
      </c>
      <c r="C16" s="20">
        <v>72041.161472015519</v>
      </c>
      <c r="D16" s="43">
        <v>69023.696198496124</v>
      </c>
      <c r="E16" s="16">
        <f t="shared" si="0"/>
        <v>4.3716367562262493E-2</v>
      </c>
      <c r="F16" s="44">
        <v>66931.270000000019</v>
      </c>
      <c r="G16" s="24">
        <f t="shared" si="1"/>
        <v>7.6345353554706286E-2</v>
      </c>
      <c r="H16" s="118">
        <v>25803.600000000002</v>
      </c>
      <c r="I16" s="118">
        <v>0</v>
      </c>
    </row>
    <row r="17" spans="1:9" x14ac:dyDescent="0.3">
      <c r="A17" s="85" t="s">
        <v>59</v>
      </c>
      <c r="B17" s="19" t="str">
        <f>A17</f>
        <v>Encargos sociais</v>
      </c>
      <c r="C17" s="20">
        <v>25574.61232256551</v>
      </c>
      <c r="D17" s="43">
        <v>25813.771088893925</v>
      </c>
      <c r="E17" s="16">
        <f t="shared" si="0"/>
        <v>-9.2647744300835555E-3</v>
      </c>
      <c r="F17" s="44">
        <v>23760.540000000005</v>
      </c>
      <c r="G17" s="22">
        <f t="shared" si="1"/>
        <v>7.6348110041501771E-2</v>
      </c>
      <c r="H17" s="118">
        <v>8031.2300000000005</v>
      </c>
      <c r="I17" s="118">
        <v>0</v>
      </c>
    </row>
    <row r="18" spans="1:9" x14ac:dyDescent="0.3">
      <c r="A18" s="85" t="s">
        <v>60</v>
      </c>
      <c r="B18" s="19" t="str">
        <f>A18</f>
        <v>Benefícios</v>
      </c>
      <c r="C18" s="20">
        <v>20927.321757007718</v>
      </c>
      <c r="D18" s="43">
        <v>11997.930206251922</v>
      </c>
      <c r="E18" s="16">
        <f t="shared" si="0"/>
        <v>0.74424433191842021</v>
      </c>
      <c r="F18" s="44">
        <v>3142.2400000000007</v>
      </c>
      <c r="G18" s="22">
        <f t="shared" si="1"/>
        <v>5.6600010683486026</v>
      </c>
      <c r="H18" s="118">
        <v>6095.53</v>
      </c>
      <c r="I18" s="118">
        <v>0</v>
      </c>
    </row>
    <row r="19" spans="1:9" x14ac:dyDescent="0.3">
      <c r="B19" s="39" t="s">
        <v>62</v>
      </c>
      <c r="C19" s="53">
        <f>SUM(C20:C20)</f>
        <v>18000</v>
      </c>
      <c r="D19" s="54">
        <f>SUM(D20:D20)</f>
        <v>11935.299034162992</v>
      </c>
      <c r="E19" s="131">
        <f t="shared" si="0"/>
        <v>0.50813146352493699</v>
      </c>
      <c r="F19" s="55">
        <f>SUM(F20:F20)</f>
        <v>35000.039999999994</v>
      </c>
      <c r="G19" s="132">
        <f t="shared" si="1"/>
        <v>-0.48571487346871589</v>
      </c>
      <c r="H19" s="151">
        <f t="shared" ref="H19:I19" si="6">SUM(H20:H20)</f>
        <v>0</v>
      </c>
      <c r="I19" s="151">
        <f t="shared" si="6"/>
        <v>0</v>
      </c>
    </row>
    <row r="20" spans="1:9" s="38" customFormat="1" x14ac:dyDescent="0.3">
      <c r="A20" s="85" t="s">
        <v>63</v>
      </c>
      <c r="B20" s="19" t="str">
        <f>A20</f>
        <v>Serviços contratados</v>
      </c>
      <c r="C20" s="20">
        <v>18000</v>
      </c>
      <c r="D20" s="43">
        <v>11935.299034162992</v>
      </c>
      <c r="E20" s="124">
        <f t="shared" si="0"/>
        <v>0.50813146352493699</v>
      </c>
      <c r="F20" s="44">
        <v>35000.039999999994</v>
      </c>
      <c r="G20" s="126">
        <f t="shared" si="1"/>
        <v>-0.48571487346871589</v>
      </c>
      <c r="H20" s="118">
        <v>0</v>
      </c>
      <c r="I20" s="118">
        <v>0</v>
      </c>
    </row>
    <row r="21" spans="1:9" x14ac:dyDescent="0.3">
      <c r="B21" s="39" t="s">
        <v>64</v>
      </c>
      <c r="C21" s="53">
        <f>SUM(C22:C23)</f>
        <v>99026.11</v>
      </c>
      <c r="D21" s="54">
        <f>SUM(D22:D23)</f>
        <v>2804.8570240579929</v>
      </c>
      <c r="E21" s="131">
        <f t="shared" si="0"/>
        <v>34.305225596394799</v>
      </c>
      <c r="F21" s="55">
        <f>SUM(F22:F23)</f>
        <v>8000.0000000000018</v>
      </c>
      <c r="G21" s="132">
        <f t="shared" si="1"/>
        <v>11.378263749999997</v>
      </c>
      <c r="H21" s="151">
        <f t="shared" ref="H21:I21" si="7">SUM(H22:H23)</f>
        <v>0</v>
      </c>
      <c r="I21" s="151">
        <f t="shared" si="7"/>
        <v>0</v>
      </c>
    </row>
    <row r="22" spans="1:9" x14ac:dyDescent="0.3">
      <c r="A22" s="85" t="s">
        <v>66</v>
      </c>
      <c r="B22" s="19" t="str">
        <f>A22</f>
        <v>Mercadoria de revenda e consumo</v>
      </c>
      <c r="C22" s="20">
        <v>98846.11</v>
      </c>
      <c r="D22" s="43">
        <v>2804.8570240579929</v>
      </c>
      <c r="E22" s="127">
        <f t="shared" si="0"/>
        <v>34.241051202314786</v>
      </c>
      <c r="F22" s="44">
        <v>8000.0000000000018</v>
      </c>
      <c r="G22" s="128">
        <f t="shared" si="1"/>
        <v>11.355763749999998</v>
      </c>
      <c r="H22" s="118">
        <v>0</v>
      </c>
      <c r="I22" s="118">
        <v>0</v>
      </c>
    </row>
    <row r="23" spans="1:9" x14ac:dyDescent="0.3">
      <c r="A23" s="85" t="s">
        <v>65</v>
      </c>
      <c r="B23" s="19" t="str">
        <f>A23</f>
        <v>Material de consumo geral</v>
      </c>
      <c r="C23" s="20">
        <v>180</v>
      </c>
      <c r="D23" s="43">
        <v>0</v>
      </c>
      <c r="E23" s="124">
        <f t="shared" si="0"/>
        <v>0</v>
      </c>
      <c r="F23" s="44">
        <v>0</v>
      </c>
      <c r="G23" s="126">
        <f t="shared" si="1"/>
        <v>0</v>
      </c>
      <c r="H23" s="118">
        <v>0</v>
      </c>
      <c r="I23" s="118">
        <v>0</v>
      </c>
    </row>
    <row r="24" spans="1:9" hidden="1" x14ac:dyDescent="0.3">
      <c r="B24" s="39" t="s">
        <v>68</v>
      </c>
      <c r="C24" s="53">
        <f>SUM(C25)</f>
        <v>0</v>
      </c>
      <c r="D24" s="54">
        <f>SUM(D25)</f>
        <v>0</v>
      </c>
      <c r="E24" s="16">
        <f t="shared" si="0"/>
        <v>0</v>
      </c>
      <c r="F24" s="55">
        <f>SUM(F25)</f>
        <v>0</v>
      </c>
      <c r="G24" s="22">
        <f t="shared" si="1"/>
        <v>0</v>
      </c>
      <c r="H24" s="151">
        <f t="shared" ref="H24:I24" si="8">SUM(H25)</f>
        <v>0</v>
      </c>
      <c r="I24" s="151">
        <f t="shared" si="8"/>
        <v>0</v>
      </c>
    </row>
    <row r="25" spans="1:9" hidden="1" x14ac:dyDescent="0.3">
      <c r="B25" s="19" t="s">
        <v>68</v>
      </c>
      <c r="C25" s="20">
        <v>0</v>
      </c>
      <c r="D25" s="43">
        <v>0</v>
      </c>
      <c r="E25" s="16">
        <f t="shared" si="0"/>
        <v>0</v>
      </c>
      <c r="F25" s="44">
        <v>0</v>
      </c>
      <c r="G25" s="22">
        <f t="shared" si="1"/>
        <v>0</v>
      </c>
      <c r="H25" s="118">
        <v>0</v>
      </c>
      <c r="I25" s="118">
        <v>0</v>
      </c>
    </row>
    <row r="26" spans="1:9" hidden="1" x14ac:dyDescent="0.3">
      <c r="B26" s="39" t="s">
        <v>69</v>
      </c>
      <c r="C26" s="53">
        <f>SUM(C27)</f>
        <v>0</v>
      </c>
      <c r="D26" s="54">
        <f>SUM(D27)</f>
        <v>0</v>
      </c>
      <c r="E26" s="16">
        <f t="shared" si="0"/>
        <v>0</v>
      </c>
      <c r="F26" s="55">
        <f>SUM(F27)</f>
        <v>0</v>
      </c>
      <c r="G26" s="22">
        <f t="shared" si="1"/>
        <v>0</v>
      </c>
      <c r="H26" s="151">
        <f t="shared" ref="H26:I26" si="9">SUM(H27)</f>
        <v>0</v>
      </c>
      <c r="I26" s="151">
        <f t="shared" si="9"/>
        <v>0</v>
      </c>
    </row>
    <row r="27" spans="1:9" hidden="1" x14ac:dyDescent="0.3">
      <c r="B27" s="19" t="s">
        <v>70</v>
      </c>
      <c r="C27" s="20">
        <v>0</v>
      </c>
      <c r="D27" s="43">
        <v>0</v>
      </c>
      <c r="E27" s="16">
        <f t="shared" si="0"/>
        <v>0</v>
      </c>
      <c r="F27" s="44">
        <v>0</v>
      </c>
      <c r="G27" s="22">
        <f t="shared" si="1"/>
        <v>0</v>
      </c>
      <c r="H27" s="118">
        <v>0</v>
      </c>
      <c r="I27" s="118">
        <v>0</v>
      </c>
    </row>
    <row r="28" spans="1:9" x14ac:dyDescent="0.3">
      <c r="B28" s="39" t="s">
        <v>71</v>
      </c>
      <c r="C28" s="53">
        <f>SUM(C29:C29)</f>
        <v>57900</v>
      </c>
      <c r="D28" s="54">
        <f>SUM(D29:D29)</f>
        <v>15601.911802989733</v>
      </c>
      <c r="E28" s="129">
        <f t="shared" si="0"/>
        <v>2.7110836627665624</v>
      </c>
      <c r="F28" s="55">
        <f>SUM(F29:F29)</f>
        <v>40000</v>
      </c>
      <c r="G28" s="130">
        <f t="shared" si="1"/>
        <v>0.44750000000000001</v>
      </c>
      <c r="H28" s="151">
        <f t="shared" ref="H28:I28" si="10">SUM(H29:H29)</f>
        <v>0</v>
      </c>
      <c r="I28" s="151">
        <f t="shared" si="10"/>
        <v>0</v>
      </c>
    </row>
    <row r="29" spans="1:9" x14ac:dyDescent="0.3">
      <c r="A29" s="85" t="s">
        <v>72</v>
      </c>
      <c r="B29" s="19" t="str">
        <f>A29</f>
        <v>Locomoções gerais - viagens - estadias</v>
      </c>
      <c r="C29" s="20">
        <v>57900</v>
      </c>
      <c r="D29" s="43">
        <v>15601.911802989733</v>
      </c>
      <c r="E29" s="16">
        <f t="shared" si="0"/>
        <v>2.7110836627665624</v>
      </c>
      <c r="F29" s="44">
        <v>40000</v>
      </c>
      <c r="G29" s="22">
        <f t="shared" si="1"/>
        <v>0.44750000000000001</v>
      </c>
      <c r="H29" s="118">
        <v>0</v>
      </c>
      <c r="I29" s="118">
        <v>0</v>
      </c>
    </row>
    <row r="30" spans="1:9" hidden="1" x14ac:dyDescent="0.3">
      <c r="B30" s="39" t="s">
        <v>101</v>
      </c>
      <c r="C30" s="53">
        <f>SUM(C31)</f>
        <v>0</v>
      </c>
      <c r="D30" s="54">
        <f>SUM(D31)</f>
        <v>0</v>
      </c>
      <c r="E30" s="16">
        <f t="shared" si="0"/>
        <v>0</v>
      </c>
      <c r="F30" s="55">
        <f>SUM(F31)</f>
        <v>0</v>
      </c>
      <c r="G30" s="22">
        <f t="shared" si="1"/>
        <v>0</v>
      </c>
      <c r="H30" s="151">
        <f t="shared" ref="H30:I30" si="11">SUM(H31)</f>
        <v>0</v>
      </c>
      <c r="I30" s="151">
        <f t="shared" si="11"/>
        <v>0</v>
      </c>
    </row>
    <row r="31" spans="1:9" hidden="1" x14ac:dyDescent="0.3">
      <c r="B31" s="19" t="s">
        <v>101</v>
      </c>
      <c r="C31" s="20">
        <v>0</v>
      </c>
      <c r="D31" s="43">
        <v>0</v>
      </c>
      <c r="E31" s="16">
        <f t="shared" si="0"/>
        <v>0</v>
      </c>
      <c r="F31" s="44">
        <v>0</v>
      </c>
      <c r="G31" s="22">
        <f t="shared" si="1"/>
        <v>0</v>
      </c>
      <c r="H31" s="118">
        <v>0</v>
      </c>
      <c r="I31" s="118">
        <v>0</v>
      </c>
    </row>
    <row r="32" spans="1:9" x14ac:dyDescent="0.3">
      <c r="B32" s="26" t="s">
        <v>51</v>
      </c>
      <c r="C32" s="51">
        <f>SUM(C30+C28+C26+C24+C21+C19+C15)</f>
        <v>293469.20555158873</v>
      </c>
      <c r="D32" s="49">
        <f>SUM(D30+D28+D26+D24+D21+D19+D15)</f>
        <v>137177.4653548527</v>
      </c>
      <c r="E32" s="121">
        <f t="shared" si="0"/>
        <v>1.1393397581187132</v>
      </c>
      <c r="F32" s="49">
        <f>SUM(F30+F28+F26+F24+F21+F19+F15)</f>
        <v>176834.09000000003</v>
      </c>
      <c r="G32" s="122">
        <f t="shared" si="1"/>
        <v>0.65957370296411</v>
      </c>
      <c r="H32" s="150">
        <f t="shared" ref="H32:I32" si="12">SUM(H30+H28+H26+H24+H21+H19+H15)</f>
        <v>39930.36</v>
      </c>
      <c r="I32" s="142">
        <f t="shared" si="12"/>
        <v>0</v>
      </c>
    </row>
  </sheetData>
  <mergeCells count="3">
    <mergeCell ref="B3:B4"/>
    <mergeCell ref="B8:B9"/>
    <mergeCell ref="B13:B14"/>
  </mergeCells>
  <pageMargins left="0.511811024" right="0.511811024" top="0.78740157499999996" bottom="0.78740157499999996" header="0.31496062000000002" footer="0.31496062000000002"/>
  <ignoredErrors>
    <ignoredError sqref="F19 F21 F24:F28 F30:F32 C30:D32 C24:D28 C21:D21 C19:D19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4"/>
  <sheetViews>
    <sheetView showGridLines="0" showRowColHeaders="0" topLeftCell="B25" workbookViewId="0">
      <selection activeCell="C54" sqref="C54"/>
    </sheetView>
  </sheetViews>
  <sheetFormatPr defaultRowHeight="14.4" x14ac:dyDescent="0.3"/>
  <cols>
    <col min="1" max="1" width="32.77734375" hidden="1" customWidth="1"/>
    <col min="2" max="2" width="49.88671875" bestFit="1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352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45" t="str">
        <f>B5</f>
        <v>Social</v>
      </c>
      <c r="B5" s="39" t="s">
        <v>353</v>
      </c>
      <c r="C5" s="40">
        <v>16860799</v>
      </c>
      <c r="D5" s="41">
        <v>15886808.293492075</v>
      </c>
      <c r="E5" s="129">
        <f>IFERROR(C5/D5-1,0)</f>
        <v>6.1308142486172779E-2</v>
      </c>
      <c r="F5" s="42">
        <v>14928912.170000013</v>
      </c>
      <c r="G5" s="133">
        <f>IFERROR(C5/F5-1,0)</f>
        <v>0.12940573351902751</v>
      </c>
      <c r="H5" s="147">
        <v>15436892.860000001</v>
      </c>
      <c r="I5" s="147">
        <v>13067095.880000005</v>
      </c>
    </row>
    <row r="6" spans="1:9" s="38" customFormat="1" x14ac:dyDescent="0.3">
      <c r="A6" s="45" t="str">
        <f>B6</f>
        <v>Veteranos</v>
      </c>
      <c r="B6" s="19" t="s">
        <v>354</v>
      </c>
      <c r="C6" s="20">
        <v>630433.63553000009</v>
      </c>
      <c r="D6" s="118">
        <v>732921.38133531157</v>
      </c>
      <c r="E6" s="141">
        <f t="shared" ref="E6:E28" si="0">IFERROR(C6/D6-1,0)</f>
        <v>-0.13983456945762551</v>
      </c>
      <c r="F6" s="119">
        <v>764694.07999999984</v>
      </c>
      <c r="G6" s="22">
        <f t="shared" ref="G6:G28" si="1">IFERROR(C6/F6-1,0)</f>
        <v>-0.1755740602438034</v>
      </c>
      <c r="H6" s="118">
        <v>563586.00999999989</v>
      </c>
      <c r="I6" s="118">
        <v>454454.11</v>
      </c>
    </row>
    <row r="7" spans="1:9" x14ac:dyDescent="0.3">
      <c r="B7" s="46" t="s">
        <v>51</v>
      </c>
      <c r="C7" s="51">
        <f>SUM(C5:C6)</f>
        <v>17491232.635529999</v>
      </c>
      <c r="D7" s="49">
        <f>SUM(D5:D6)</f>
        <v>16619729.674827386</v>
      </c>
      <c r="E7" s="121">
        <f t="shared" si="0"/>
        <v>5.2437854150095609E-2</v>
      </c>
      <c r="F7" s="49">
        <f>SUM(F5:F6)</f>
        <v>15693606.250000013</v>
      </c>
      <c r="G7" s="122">
        <f t="shared" si="1"/>
        <v>0.11454514385627479</v>
      </c>
      <c r="H7" s="150">
        <f t="shared" ref="H7:I7" si="2">SUM(H5:H6)</f>
        <v>16000478.870000001</v>
      </c>
      <c r="I7" s="142">
        <f t="shared" si="2"/>
        <v>13521549.990000004</v>
      </c>
    </row>
    <row r="8" spans="1:9" x14ac:dyDescent="0.3">
      <c r="B8" s="38"/>
      <c r="C8" s="50"/>
      <c r="D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tr">
        <f>'23-Despesas '!F$4</f>
        <v>Orçamento 2025</v>
      </c>
      <c r="I10" s="10" t="str">
        <f>'23-Despesas '!G$4</f>
        <v>Variação
Orç 2026 vs Orç 2025</v>
      </c>
    </row>
    <row r="11" spans="1:9" x14ac:dyDescent="0.3">
      <c r="A11" s="115" t="s">
        <v>355</v>
      </c>
      <c r="B11" s="19" t="str">
        <f>A11</f>
        <v>Festa Junina</v>
      </c>
      <c r="C11" s="20">
        <v>5272264</v>
      </c>
      <c r="D11" s="21">
        <v>5086391.1700000009</v>
      </c>
      <c r="E11" s="16">
        <f t="shared" si="0"/>
        <v>3.6543164650075344E-2</v>
      </c>
      <c r="F11" s="64">
        <v>4678785.72</v>
      </c>
      <c r="G11" s="22">
        <f>IFERROR(C11/F11-1,0)</f>
        <v>0.12684450956219484</v>
      </c>
      <c r="H11" s="118">
        <v>4965317.6900000013</v>
      </c>
      <c r="I11" s="118">
        <v>3941764.12</v>
      </c>
    </row>
    <row r="12" spans="1:9" x14ac:dyDescent="0.3">
      <c r="A12" s="115" t="s">
        <v>357</v>
      </c>
      <c r="B12" s="19" t="str">
        <f t="shared" ref="B12:B27" si="3">A12</f>
        <v>Administração do Social</v>
      </c>
      <c r="C12" s="20">
        <v>2379340.1093669664</v>
      </c>
      <c r="D12" s="118">
        <v>2506019.8381463592</v>
      </c>
      <c r="E12" s="141">
        <f t="shared" si="0"/>
        <v>-5.0550169975148607E-2</v>
      </c>
      <c r="F12" s="119">
        <v>2316264.8699999973</v>
      </c>
      <c r="G12" s="22">
        <f>IFERROR(C12/F12-1,0)</f>
        <v>2.7231444980197361E-2</v>
      </c>
      <c r="H12" s="118">
        <v>2431336.8600000013</v>
      </c>
      <c r="I12" s="118">
        <v>2323488.8899999992</v>
      </c>
    </row>
    <row r="13" spans="1:9" x14ac:dyDescent="0.3">
      <c r="A13" s="115" t="s">
        <v>356</v>
      </c>
      <c r="B13" s="19" t="str">
        <f t="shared" si="3"/>
        <v>Festas, Eventos e Atividades Sociais</v>
      </c>
      <c r="C13" s="20">
        <v>2042573</v>
      </c>
      <c r="D13" s="118">
        <v>918459.6674504074</v>
      </c>
      <c r="E13" s="141">
        <f t="shared" si="0"/>
        <v>1.22391148178566</v>
      </c>
      <c r="F13" s="119">
        <v>1179201.8299999998</v>
      </c>
      <c r="G13" s="24">
        <f t="shared" si="1"/>
        <v>0.73216573112000716</v>
      </c>
      <c r="H13" s="118">
        <v>897691.95</v>
      </c>
      <c r="I13" s="118">
        <v>610502.03999999992</v>
      </c>
    </row>
    <row r="14" spans="1:9" x14ac:dyDescent="0.3">
      <c r="A14" s="115" t="s">
        <v>359</v>
      </c>
      <c r="B14" s="19" t="str">
        <f t="shared" si="3"/>
        <v xml:space="preserve">Brinquedoteca </v>
      </c>
      <c r="C14" s="20">
        <v>1317656.4553257469</v>
      </c>
      <c r="D14" s="118">
        <v>1183050.9139832875</v>
      </c>
      <c r="E14" s="141">
        <f t="shared" si="0"/>
        <v>0.11377831651323245</v>
      </c>
      <c r="F14" s="119">
        <v>1219521.3299999989</v>
      </c>
      <c r="G14" s="24">
        <f t="shared" si="1"/>
        <v>8.047019999703342E-2</v>
      </c>
      <c r="H14" s="118">
        <v>1137392.9800000002</v>
      </c>
      <c r="I14" s="118">
        <v>950582.52999999991</v>
      </c>
    </row>
    <row r="15" spans="1:9" x14ac:dyDescent="0.3">
      <c r="A15" s="115" t="s">
        <v>360</v>
      </c>
      <c r="B15" s="19" t="str">
        <f t="shared" si="3"/>
        <v>Réveillon</v>
      </c>
      <c r="C15" s="20">
        <v>1141084.3700000001</v>
      </c>
      <c r="D15" s="118">
        <v>1114300.0967522296</v>
      </c>
      <c r="E15" s="141">
        <f t="shared" si="0"/>
        <v>2.4036858047340015E-2</v>
      </c>
      <c r="F15" s="119">
        <v>1065131.77</v>
      </c>
      <c r="G15" s="22">
        <f t="shared" si="1"/>
        <v>7.1308172509022105E-2</v>
      </c>
      <c r="H15" s="118">
        <v>983151.50000000012</v>
      </c>
      <c r="I15" s="118">
        <v>761026.69000000006</v>
      </c>
    </row>
    <row r="16" spans="1:9" x14ac:dyDescent="0.3">
      <c r="A16" s="115" t="s">
        <v>361</v>
      </c>
      <c r="B16" s="19" t="str">
        <f t="shared" si="3"/>
        <v>Feijoada Carnavalesca</v>
      </c>
      <c r="C16" s="20">
        <v>956416.40854999982</v>
      </c>
      <c r="D16" s="118">
        <v>912833.20999999973</v>
      </c>
      <c r="E16" s="141">
        <f t="shared" si="0"/>
        <v>4.77449747364036E-2</v>
      </c>
      <c r="F16" s="119">
        <v>742956.29</v>
      </c>
      <c r="G16" s="24">
        <f t="shared" si="1"/>
        <v>0.28731181285240859</v>
      </c>
      <c r="H16" s="118">
        <v>621014.87</v>
      </c>
      <c r="I16" s="118">
        <v>620333.42000000004</v>
      </c>
    </row>
    <row r="17" spans="1:9" x14ac:dyDescent="0.3">
      <c r="A17" s="115" t="s">
        <v>362</v>
      </c>
      <c r="B17" s="19" t="str">
        <f t="shared" si="3"/>
        <v>Atividades e Eventos para Crianças</v>
      </c>
      <c r="C17" s="20">
        <v>760949</v>
      </c>
      <c r="D17" s="118">
        <v>558046.36719781894</v>
      </c>
      <c r="E17" s="141">
        <f t="shared" si="0"/>
        <v>0.36359457695431097</v>
      </c>
      <c r="F17" s="119">
        <v>734703.6599999998</v>
      </c>
      <c r="G17" s="22">
        <f t="shared" si="1"/>
        <v>3.5722348245822211E-2</v>
      </c>
      <c r="H17" s="118">
        <v>467445.64000000007</v>
      </c>
      <c r="I17" s="118">
        <v>495016.88</v>
      </c>
    </row>
    <row r="18" spans="1:9" x14ac:dyDescent="0.3">
      <c r="A18" s="115" t="s">
        <v>363</v>
      </c>
      <c r="B18" s="19" t="str">
        <f t="shared" si="3"/>
        <v>Piano's Bar e Karaokê</v>
      </c>
      <c r="C18" s="20">
        <v>400686.3285</v>
      </c>
      <c r="D18" s="118">
        <v>348423.15799628815</v>
      </c>
      <c r="E18" s="141">
        <f t="shared" si="0"/>
        <v>0.14999912980602925</v>
      </c>
      <c r="F18" s="119">
        <v>388166.75999999995</v>
      </c>
      <c r="G18" s="24">
        <f t="shared" si="1"/>
        <v>3.2253066955037601E-2</v>
      </c>
      <c r="H18" s="118">
        <v>286105.91999999993</v>
      </c>
      <c r="I18" s="118">
        <v>255164.56</v>
      </c>
    </row>
    <row r="19" spans="1:9" x14ac:dyDescent="0.3">
      <c r="A19" s="115" t="s">
        <v>364</v>
      </c>
      <c r="B19" s="19" t="str">
        <f t="shared" si="3"/>
        <v>Ressaca da Folia</v>
      </c>
      <c r="C19" s="20">
        <v>385470.64976</v>
      </c>
      <c r="D19" s="118">
        <v>371496.35</v>
      </c>
      <c r="E19" s="141">
        <f t="shared" si="0"/>
        <v>3.7616250496135484E-2</v>
      </c>
      <c r="F19" s="119">
        <v>347105.81000000006</v>
      </c>
      <c r="G19" s="24">
        <f t="shared" si="1"/>
        <v>0.11052779485310249</v>
      </c>
      <c r="H19" s="118">
        <v>280425.90000000002</v>
      </c>
      <c r="I19" s="118">
        <v>262230.40999999997</v>
      </c>
    </row>
    <row r="20" spans="1:9" x14ac:dyDescent="0.3">
      <c r="A20" s="115" t="s">
        <v>366</v>
      </c>
      <c r="B20" s="19" t="str">
        <f t="shared" si="3"/>
        <v>Programa de Inclusão Pinheiros</v>
      </c>
      <c r="C20" s="20">
        <v>330139.24699869903</v>
      </c>
      <c r="D20" s="118">
        <v>155988.29958335173</v>
      </c>
      <c r="E20" s="141">
        <f t="shared" si="0"/>
        <v>1.1164359627004616</v>
      </c>
      <c r="F20" s="119">
        <v>150634.97</v>
      </c>
      <c r="G20" s="24">
        <f t="shared" si="1"/>
        <v>1.1916507634229889</v>
      </c>
      <c r="H20" s="118">
        <v>66041.909999999989</v>
      </c>
      <c r="I20" s="118">
        <v>78164.759999999995</v>
      </c>
    </row>
    <row r="21" spans="1:9" x14ac:dyDescent="0.3">
      <c r="A21" s="115" t="s">
        <v>365</v>
      </c>
      <c r="B21" s="19" t="str">
        <f t="shared" si="3"/>
        <v>Jantar Dançante</v>
      </c>
      <c r="C21" s="20">
        <v>318436.15000000002</v>
      </c>
      <c r="D21" s="118">
        <v>369830.71892263187</v>
      </c>
      <c r="E21" s="141">
        <f t="shared" si="0"/>
        <v>-0.13896782039185751</v>
      </c>
      <c r="F21" s="119">
        <v>365119.10999999993</v>
      </c>
      <c r="G21" s="24">
        <f t="shared" si="1"/>
        <v>-0.12785679719694731</v>
      </c>
      <c r="H21" s="118">
        <v>352090.01</v>
      </c>
      <c r="I21" s="118">
        <v>293748.88</v>
      </c>
    </row>
    <row r="22" spans="1:9" x14ac:dyDescent="0.3">
      <c r="A22" s="115" t="s">
        <v>367</v>
      </c>
      <c r="B22" s="19" t="str">
        <f t="shared" si="3"/>
        <v>Locações Corporativas</v>
      </c>
      <c r="C22" s="20">
        <v>270585.08395</v>
      </c>
      <c r="D22" s="118">
        <v>530050.7430959054</v>
      </c>
      <c r="E22" s="141">
        <f t="shared" si="0"/>
        <v>-0.48951098083633604</v>
      </c>
      <c r="F22" s="119">
        <v>449884.33</v>
      </c>
      <c r="G22" s="24">
        <f t="shared" si="1"/>
        <v>-0.39854521283281863</v>
      </c>
      <c r="H22" s="118">
        <v>446527.85000000009</v>
      </c>
      <c r="I22" s="118">
        <v>470183.58</v>
      </c>
    </row>
    <row r="23" spans="1:9" x14ac:dyDescent="0.3">
      <c r="A23" s="115" t="s">
        <v>369</v>
      </c>
      <c r="B23" s="19" t="str">
        <f t="shared" si="3"/>
        <v>Carteado</v>
      </c>
      <c r="C23" s="20">
        <v>241558.16545</v>
      </c>
      <c r="D23" s="118">
        <v>203249.55537142212</v>
      </c>
      <c r="E23" s="141">
        <f t="shared" si="0"/>
        <v>0.18848065870831543</v>
      </c>
      <c r="F23" s="119">
        <v>224436.25000000006</v>
      </c>
      <c r="G23" s="24">
        <f t="shared" si="1"/>
        <v>7.6288547193245071E-2</v>
      </c>
      <c r="H23" s="118">
        <v>158116.94999999998</v>
      </c>
      <c r="I23" s="118">
        <v>115713.36</v>
      </c>
    </row>
    <row r="24" spans="1:9" x14ac:dyDescent="0.3">
      <c r="A24" s="115" t="s">
        <v>368</v>
      </c>
      <c r="B24" s="19" t="str">
        <f t="shared" si="3"/>
        <v>Parquinho</v>
      </c>
      <c r="C24" s="20">
        <v>237118.34800234908</v>
      </c>
      <c r="D24" s="118">
        <v>155367.84789075766</v>
      </c>
      <c r="E24" s="141">
        <f t="shared" si="0"/>
        <v>0.52617385914408676</v>
      </c>
      <c r="F24" s="119">
        <v>172822.27999999997</v>
      </c>
      <c r="G24" s="24">
        <f t="shared" si="1"/>
        <v>0.37203575836604585</v>
      </c>
      <c r="H24" s="118">
        <v>133827.88999999998</v>
      </c>
      <c r="I24" s="118">
        <v>185638.26</v>
      </c>
    </row>
    <row r="25" spans="1:9" x14ac:dyDescent="0.3">
      <c r="A25" s="115" t="s">
        <v>370</v>
      </c>
      <c r="B25" s="19" t="str">
        <f t="shared" si="3"/>
        <v>Matinê Carnavalesca</v>
      </c>
      <c r="C25" s="20">
        <v>124348.22</v>
      </c>
      <c r="D25" s="118">
        <v>128859.79000000001</v>
      </c>
      <c r="E25" s="141">
        <f t="shared" si="0"/>
        <v>-3.5011464786649182E-2</v>
      </c>
      <c r="F25" s="119">
        <v>120723.02</v>
      </c>
      <c r="G25" s="24">
        <f t="shared" si="1"/>
        <v>3.0029069849312862E-2</v>
      </c>
      <c r="H25" s="118">
        <v>112580.7</v>
      </c>
      <c r="I25" s="118">
        <v>84323.08</v>
      </c>
    </row>
    <row r="26" spans="1:9" x14ac:dyDescent="0.3">
      <c r="A26" s="115" t="s">
        <v>371</v>
      </c>
      <c r="B26" s="19" t="str">
        <f t="shared" si="3"/>
        <v>Atividades do Cerimonial</v>
      </c>
      <c r="C26" s="20">
        <v>82172.057309999975</v>
      </c>
      <c r="D26" s="21">
        <v>74648.621831318771</v>
      </c>
      <c r="E26" s="16">
        <f t="shared" si="0"/>
        <v>0.10078465340836007</v>
      </c>
      <c r="F26" s="64">
        <v>73454.169999999969</v>
      </c>
      <c r="G26" s="24">
        <f t="shared" si="1"/>
        <v>0.11868471606172948</v>
      </c>
      <c r="H26" s="118">
        <v>32128.9</v>
      </c>
      <c r="I26" s="118">
        <v>13473.449999999999</v>
      </c>
    </row>
    <row r="27" spans="1:9" x14ac:dyDescent="0.3">
      <c r="A27" s="115" t="s">
        <v>358</v>
      </c>
      <c r="B27" s="19" t="str">
        <f t="shared" si="3"/>
        <v>Festejos de Aniversário</v>
      </c>
      <c r="C27" s="20">
        <v>600000</v>
      </c>
      <c r="D27" s="21">
        <v>1269791.9452702932</v>
      </c>
      <c r="E27" s="16">
        <f t="shared" si="0"/>
        <v>-0.52748164592248892</v>
      </c>
      <c r="F27" s="64">
        <v>700000</v>
      </c>
      <c r="G27" s="24">
        <f t="shared" si="1"/>
        <v>-0.1428571428571429</v>
      </c>
      <c r="H27" s="118">
        <v>2065695.3399999994</v>
      </c>
      <c r="I27" s="118">
        <v>1605740.97</v>
      </c>
    </row>
    <row r="28" spans="1:9" x14ac:dyDescent="0.3">
      <c r="B28" s="46" t="s">
        <v>51</v>
      </c>
      <c r="C28" s="51">
        <f>SUM(C11:C27)</f>
        <v>16860797.593213767</v>
      </c>
      <c r="D28" s="28">
        <f>SUM(D11:D27)</f>
        <v>15886808.293492068</v>
      </c>
      <c r="E28" s="121">
        <f t="shared" si="0"/>
        <v>6.1308053935584361E-2</v>
      </c>
      <c r="F28" s="28">
        <f>SUM(F11:F27)</f>
        <v>14928912.169999994</v>
      </c>
      <c r="G28" s="120">
        <f t="shared" si="1"/>
        <v>0.12940563928669513</v>
      </c>
      <c r="H28" s="150">
        <f t="shared" ref="H28:I28" si="4">SUM(H11:H27)</f>
        <v>15436892.860000001</v>
      </c>
      <c r="I28" s="142">
        <f t="shared" si="4"/>
        <v>13067095.880000001</v>
      </c>
    </row>
    <row r="29" spans="1:9" x14ac:dyDescent="0.3">
      <c r="B29" s="38"/>
      <c r="C29" s="50"/>
      <c r="D29" s="50">
        <f>D28-D5</f>
        <v>0</v>
      </c>
      <c r="H29" s="50"/>
      <c r="I29" s="50"/>
    </row>
    <row r="30" spans="1:9" x14ac:dyDescent="0.3">
      <c r="B30" s="202" t="s">
        <v>56</v>
      </c>
      <c r="C30" s="8"/>
      <c r="D30" s="8"/>
      <c r="E30" s="36"/>
      <c r="F30" s="36"/>
      <c r="G30" s="36"/>
      <c r="H30" s="8"/>
      <c r="I30" s="8"/>
    </row>
    <row r="31" spans="1:9" ht="43.2" x14ac:dyDescent="0.3">
      <c r="B31" s="203"/>
      <c r="C31" s="10" t="str">
        <f>'23-Despesas '!C$4</f>
        <v>Orçamento 2026</v>
      </c>
      <c r="D31" s="10" t="str">
        <f>'23-Despesas '!D$4</f>
        <v>Projeção 2025</v>
      </c>
      <c r="E31" s="11" t="s">
        <v>6</v>
      </c>
      <c r="F31" s="37" t="str">
        <f>'23-Despesas '!F$4</f>
        <v>Orçamento 2025</v>
      </c>
      <c r="G31" s="12" t="s">
        <v>8</v>
      </c>
      <c r="H31" s="10" t="str">
        <f>'23-Despesas '!F$4</f>
        <v>Orçamento 2025</v>
      </c>
      <c r="I31" s="10" t="str">
        <f>'23-Despesas '!G$4</f>
        <v>Variação
Orç 2026 vs Orç 2025</v>
      </c>
    </row>
    <row r="32" spans="1:9" x14ac:dyDescent="0.3">
      <c r="B32" s="39" t="s">
        <v>57</v>
      </c>
      <c r="C32" s="53">
        <f>SUM(C33:C35)</f>
        <v>3519630.1410522438</v>
      </c>
      <c r="D32" s="54">
        <f>SUM(D33:D35)</f>
        <v>3351754.7344384501</v>
      </c>
      <c r="E32" s="129">
        <f t="shared" ref="E32:E54" si="5">IFERROR(C32/D32-1,0)</f>
        <v>5.0085826653399002E-2</v>
      </c>
      <c r="F32" s="55">
        <f>SUM(F33:F35)</f>
        <v>2787351.5600000015</v>
      </c>
      <c r="G32" s="138">
        <f t="shared" ref="G32:G54" si="6">IFERROR(C32/F32-1,0)</f>
        <v>0.2627148263465704</v>
      </c>
      <c r="H32" s="151">
        <f t="shared" ref="H32:I32" si="7">SUM(H33:H35)</f>
        <v>3315327.97</v>
      </c>
      <c r="I32" s="151">
        <f t="shared" si="7"/>
        <v>2914143.02</v>
      </c>
    </row>
    <row r="33" spans="1:9" x14ac:dyDescent="0.3">
      <c r="A33" s="85" t="s">
        <v>58</v>
      </c>
      <c r="B33" s="19" t="str">
        <f>A33</f>
        <v>Salários e provisões</v>
      </c>
      <c r="C33" s="20">
        <v>2446069</v>
      </c>
      <c r="D33" s="43">
        <v>2315819.198353285</v>
      </c>
      <c r="E33" s="16">
        <f t="shared" si="5"/>
        <v>5.6243510607102642E-2</v>
      </c>
      <c r="F33" s="44">
        <v>1774829.2100000016</v>
      </c>
      <c r="G33" s="24">
        <f t="shared" si="6"/>
        <v>0.37819965223583285</v>
      </c>
      <c r="H33" s="118">
        <v>2345514.87</v>
      </c>
      <c r="I33" s="118">
        <v>2035947.5099999998</v>
      </c>
    </row>
    <row r="34" spans="1:9" x14ac:dyDescent="0.3">
      <c r="A34" s="85" t="s">
        <v>59</v>
      </c>
      <c r="B34" s="19" t="str">
        <f>A34</f>
        <v>Encargos sociais</v>
      </c>
      <c r="C34" s="20">
        <v>724700.86151658965</v>
      </c>
      <c r="D34" s="43">
        <v>685098.21352224925</v>
      </c>
      <c r="E34" s="16">
        <f t="shared" si="5"/>
        <v>5.7805796618172423E-2</v>
      </c>
      <c r="F34" s="44">
        <v>626987.22999999986</v>
      </c>
      <c r="G34" s="24">
        <f t="shared" si="6"/>
        <v>0.15584628656087585</v>
      </c>
      <c r="H34" s="118">
        <v>648421.95999999985</v>
      </c>
      <c r="I34" s="118">
        <v>580369.28</v>
      </c>
    </row>
    <row r="35" spans="1:9" x14ac:dyDescent="0.3">
      <c r="A35" s="85" t="s">
        <v>60</v>
      </c>
      <c r="B35" s="19" t="str">
        <f>A35</f>
        <v>Benefícios</v>
      </c>
      <c r="C35" s="20">
        <v>348860.27953565412</v>
      </c>
      <c r="D35" s="43">
        <v>350837.32256291551</v>
      </c>
      <c r="E35" s="16">
        <f t="shared" si="5"/>
        <v>-5.6352129608641111E-3</v>
      </c>
      <c r="F35" s="44">
        <v>385535.11999999994</v>
      </c>
      <c r="G35" s="24">
        <f t="shared" si="6"/>
        <v>-9.5127106615723656E-2</v>
      </c>
      <c r="H35" s="118">
        <v>321391.14000000007</v>
      </c>
      <c r="I35" s="118">
        <v>297826.23</v>
      </c>
    </row>
    <row r="36" spans="1:9" x14ac:dyDescent="0.3">
      <c r="B36" s="39" t="s">
        <v>62</v>
      </c>
      <c r="C36" s="53">
        <f>SUM(C37:C38)</f>
        <v>9565793.8363000005</v>
      </c>
      <c r="D36" s="54">
        <f>SUM(D37:D38)</f>
        <v>8462322.7007399313</v>
      </c>
      <c r="E36" s="131">
        <f t="shared" si="5"/>
        <v>0.13039813944504663</v>
      </c>
      <c r="F36" s="55">
        <f>SUM(F37:F38)</f>
        <v>8168824.2500000028</v>
      </c>
      <c r="G36" s="137">
        <f t="shared" si="6"/>
        <v>0.17101231995534705</v>
      </c>
      <c r="H36" s="151">
        <f t="shared" ref="H36:I36" si="8">SUM(H37:H38)</f>
        <v>7585242.9300000006</v>
      </c>
      <c r="I36" s="151">
        <f t="shared" si="8"/>
        <v>6557550.9299999997</v>
      </c>
    </row>
    <row r="37" spans="1:9" s="38" customFormat="1" x14ac:dyDescent="0.3">
      <c r="A37" s="85" t="s">
        <v>63</v>
      </c>
      <c r="B37" s="19" t="str">
        <f>A37</f>
        <v>Serviços contratados</v>
      </c>
      <c r="C37" s="20">
        <v>9434759</v>
      </c>
      <c r="D37" s="43">
        <v>8350770.581654951</v>
      </c>
      <c r="E37" s="127">
        <f t="shared" si="5"/>
        <v>0.12980699298893028</v>
      </c>
      <c r="F37" s="44">
        <v>8051709.8500000024</v>
      </c>
      <c r="G37" s="136">
        <f t="shared" si="6"/>
        <v>0.17177086305463396</v>
      </c>
      <c r="H37" s="118">
        <v>7477031.3200000003</v>
      </c>
      <c r="I37" s="118">
        <v>6455002.9399999995</v>
      </c>
    </row>
    <row r="38" spans="1:9" x14ac:dyDescent="0.3">
      <c r="A38" s="85" t="s">
        <v>100</v>
      </c>
      <c r="B38" s="19" t="str">
        <f>A38</f>
        <v>Encargos sobre serviços contratados</v>
      </c>
      <c r="C38" s="20">
        <v>131034.8363</v>
      </c>
      <c r="D38" s="43">
        <v>111552.11908497954</v>
      </c>
      <c r="E38" s="124">
        <f t="shared" si="5"/>
        <v>0.17465125158383299</v>
      </c>
      <c r="F38" s="44">
        <v>117114.4</v>
      </c>
      <c r="G38" s="135">
        <f t="shared" si="6"/>
        <v>0.11886186754148076</v>
      </c>
      <c r="H38" s="118">
        <v>108211.60999999999</v>
      </c>
      <c r="I38" s="118">
        <v>102547.99</v>
      </c>
    </row>
    <row r="39" spans="1:9" x14ac:dyDescent="0.3">
      <c r="B39" s="39" t="s">
        <v>64</v>
      </c>
      <c r="C39" s="53">
        <f>SUM(C40:C42)</f>
        <v>2268283.4084700001</v>
      </c>
      <c r="D39" s="54">
        <f>SUM(D40:D42)</f>
        <v>2094983.8528721321</v>
      </c>
      <c r="E39" s="129">
        <f t="shared" si="5"/>
        <v>8.2721189168251552E-2</v>
      </c>
      <c r="F39" s="55">
        <f>SUM(F40:F42)</f>
        <v>2041116.1399999997</v>
      </c>
      <c r="G39" s="138">
        <f t="shared" si="6"/>
        <v>0.11129561126786269</v>
      </c>
      <c r="H39" s="151">
        <f t="shared" ref="H39:I39" si="9">SUM(H40:H42)</f>
        <v>2413388.7199999997</v>
      </c>
      <c r="I39" s="151">
        <f t="shared" si="9"/>
        <v>1828375.2</v>
      </c>
    </row>
    <row r="40" spans="1:9" x14ac:dyDescent="0.3">
      <c r="A40" s="85" t="s">
        <v>66</v>
      </c>
      <c r="B40" s="19" t="str">
        <f>A40</f>
        <v>Mercadoria de revenda e consumo</v>
      </c>
      <c r="C40" s="20">
        <v>1571725</v>
      </c>
      <c r="D40" s="43">
        <v>1398310.6441830306</v>
      </c>
      <c r="E40" s="16">
        <f t="shared" si="5"/>
        <v>0.12401704623959842</v>
      </c>
      <c r="F40" s="44">
        <v>1333335.2499999995</v>
      </c>
      <c r="G40" s="24">
        <f t="shared" si="6"/>
        <v>0.17879205548642063</v>
      </c>
      <c r="H40" s="118">
        <v>1474141.5799999998</v>
      </c>
      <c r="I40" s="118">
        <v>1117576.4000000001</v>
      </c>
    </row>
    <row r="41" spans="1:9" x14ac:dyDescent="0.3">
      <c r="A41" s="85" t="s">
        <v>65</v>
      </c>
      <c r="B41" s="19" t="str">
        <f>A41</f>
        <v>Material de consumo geral</v>
      </c>
      <c r="C41" s="20">
        <v>421097</v>
      </c>
      <c r="D41" s="43">
        <v>424389.31029718806</v>
      </c>
      <c r="E41" s="16">
        <f t="shared" si="5"/>
        <v>-7.7577597203910553E-3</v>
      </c>
      <c r="F41" s="44">
        <v>479650.57000000007</v>
      </c>
      <c r="G41" s="24">
        <f t="shared" si="6"/>
        <v>-0.12207547256745688</v>
      </c>
      <c r="H41" s="118">
        <v>441780.35999999987</v>
      </c>
      <c r="I41" s="118">
        <v>277734.20999999996</v>
      </c>
    </row>
    <row r="42" spans="1:9" x14ac:dyDescent="0.3">
      <c r="A42" s="85" t="s">
        <v>67</v>
      </c>
      <c r="B42" s="19" t="str">
        <f>A42</f>
        <v>Mercadoria de uso geral</v>
      </c>
      <c r="C42" s="20">
        <v>275461.40847000008</v>
      </c>
      <c r="D42" s="43">
        <v>272283.89839191339</v>
      </c>
      <c r="E42" s="16">
        <f t="shared" si="5"/>
        <v>1.1669842017294485E-2</v>
      </c>
      <c r="F42" s="44">
        <v>228130.32000000007</v>
      </c>
      <c r="G42" s="24">
        <f t="shared" si="6"/>
        <v>0.20747390557292</v>
      </c>
      <c r="H42" s="118">
        <v>497466.77999999997</v>
      </c>
      <c r="I42" s="118">
        <v>433064.58999999991</v>
      </c>
    </row>
    <row r="43" spans="1:9" s="45" customFormat="1" hidden="1" x14ac:dyDescent="0.3">
      <c r="B43" s="39" t="s">
        <v>68</v>
      </c>
      <c r="C43" s="53">
        <f>SUM(C44)</f>
        <v>0</v>
      </c>
      <c r="D43" s="65">
        <f>SUM(D44)</f>
        <v>0</v>
      </c>
      <c r="E43" s="16">
        <f t="shared" si="5"/>
        <v>0</v>
      </c>
      <c r="F43" s="66">
        <f>SUM(F44)</f>
        <v>0</v>
      </c>
      <c r="G43" s="24">
        <f t="shared" si="6"/>
        <v>0</v>
      </c>
      <c r="H43" s="151">
        <f t="shared" ref="H43:I43" si="10">SUM(H44)</f>
        <v>0</v>
      </c>
      <c r="I43" s="151">
        <f t="shared" si="10"/>
        <v>0</v>
      </c>
    </row>
    <row r="44" spans="1:9" hidden="1" x14ac:dyDescent="0.3">
      <c r="B44" s="56" t="s">
        <v>68</v>
      </c>
      <c r="C44" s="57">
        <v>0</v>
      </c>
      <c r="D44" s="58"/>
      <c r="E44" s="16">
        <f t="shared" si="5"/>
        <v>0</v>
      </c>
      <c r="F44" s="59">
        <v>0</v>
      </c>
      <c r="G44" s="24">
        <f t="shared" si="6"/>
        <v>0</v>
      </c>
      <c r="H44" s="152">
        <v>0</v>
      </c>
      <c r="I44" s="152">
        <v>0</v>
      </c>
    </row>
    <row r="45" spans="1:9" hidden="1" x14ac:dyDescent="0.3">
      <c r="B45" s="39" t="s">
        <v>69</v>
      </c>
      <c r="C45" s="53">
        <f>SUM(C46:C47)</f>
        <v>0</v>
      </c>
      <c r="D45" s="54">
        <f>SUM(D46:D47)</f>
        <v>0</v>
      </c>
      <c r="E45" s="16">
        <f t="shared" si="5"/>
        <v>0</v>
      </c>
      <c r="F45" s="55">
        <f>SUM(F46:F47)</f>
        <v>0</v>
      </c>
      <c r="G45" s="24">
        <f t="shared" si="6"/>
        <v>0</v>
      </c>
      <c r="H45" s="151">
        <f t="shared" ref="H45:I45" si="11">SUM(H46:H47)</f>
        <v>0</v>
      </c>
      <c r="I45" s="151">
        <f t="shared" si="11"/>
        <v>0</v>
      </c>
    </row>
    <row r="46" spans="1:9" hidden="1" x14ac:dyDescent="0.3">
      <c r="B46" s="19" t="s">
        <v>81</v>
      </c>
      <c r="C46" s="40">
        <v>0</v>
      </c>
      <c r="D46" s="41">
        <v>0</v>
      </c>
      <c r="E46" s="16">
        <f t="shared" si="5"/>
        <v>0</v>
      </c>
      <c r="F46" s="42">
        <v>0</v>
      </c>
      <c r="G46" s="24">
        <f t="shared" si="6"/>
        <v>0</v>
      </c>
      <c r="H46" s="147">
        <v>0</v>
      </c>
      <c r="I46" s="147">
        <v>0</v>
      </c>
    </row>
    <row r="47" spans="1:9" hidden="1" x14ac:dyDescent="0.3">
      <c r="B47" s="19" t="s">
        <v>70</v>
      </c>
      <c r="C47" s="20">
        <v>0</v>
      </c>
      <c r="D47" s="43"/>
      <c r="E47" s="16">
        <f t="shared" si="5"/>
        <v>0</v>
      </c>
      <c r="F47" s="44">
        <v>0</v>
      </c>
      <c r="G47" s="24">
        <f t="shared" si="6"/>
        <v>0</v>
      </c>
      <c r="H47" s="118">
        <v>0</v>
      </c>
      <c r="I47" s="118">
        <v>0</v>
      </c>
    </row>
    <row r="48" spans="1:9" x14ac:dyDescent="0.3">
      <c r="B48" s="39" t="s">
        <v>71</v>
      </c>
      <c r="C48" s="53">
        <f>SUM(C49:C51)</f>
        <v>2137525</v>
      </c>
      <c r="D48" s="54">
        <f>SUM(D49:D51)</f>
        <v>1938979.6054415579</v>
      </c>
      <c r="E48" s="131">
        <f t="shared" si="5"/>
        <v>0.10239684522789383</v>
      </c>
      <c r="F48" s="55">
        <f>SUM(F49:F51)</f>
        <v>1931620.2199999997</v>
      </c>
      <c r="G48" s="137">
        <f t="shared" si="6"/>
        <v>0.10659692721584801</v>
      </c>
      <c r="H48" s="151">
        <f t="shared" ref="H48:I48" si="12">SUM(H49:H51)</f>
        <v>2104539.2100000004</v>
      </c>
      <c r="I48" s="151">
        <f t="shared" si="12"/>
        <v>1748233.71</v>
      </c>
    </row>
    <row r="49" spans="1:9" s="38" customFormat="1" x14ac:dyDescent="0.3">
      <c r="A49" s="85" t="s">
        <v>73</v>
      </c>
      <c r="B49" s="19" t="str">
        <f>A49</f>
        <v>Outros gastos gerais</v>
      </c>
      <c r="C49" s="20">
        <v>2051505</v>
      </c>
      <c r="D49" s="43">
        <v>1869029.3007019009</v>
      </c>
      <c r="E49" s="127">
        <f t="shared" si="5"/>
        <v>9.7631267326612647E-2</v>
      </c>
      <c r="F49" s="44">
        <v>1895282.6599999997</v>
      </c>
      <c r="G49" s="136">
        <f t="shared" si="6"/>
        <v>8.2426934671581131E-2</v>
      </c>
      <c r="H49" s="118">
        <v>1953954.1900000004</v>
      </c>
      <c r="I49" s="118">
        <v>1623715.3699999999</v>
      </c>
    </row>
    <row r="50" spans="1:9" s="38" customFormat="1" x14ac:dyDescent="0.3">
      <c r="A50" s="85" t="s">
        <v>72</v>
      </c>
      <c r="B50" s="19" t="str">
        <f>A50</f>
        <v>Locomoções gerais - viagens - estadias</v>
      </c>
      <c r="C50" s="20">
        <v>86020</v>
      </c>
      <c r="D50" s="43">
        <v>67972.634739657224</v>
      </c>
      <c r="E50" s="127">
        <f t="shared" si="5"/>
        <v>0.26550927927784751</v>
      </c>
      <c r="F50" s="44">
        <v>36337.56</v>
      </c>
      <c r="G50" s="136">
        <f t="shared" si="6"/>
        <v>1.3672475532204147</v>
      </c>
      <c r="H50" s="118">
        <v>53557.82</v>
      </c>
      <c r="I50" s="118">
        <v>43610.820000000007</v>
      </c>
    </row>
    <row r="51" spans="1:9" x14ac:dyDescent="0.3">
      <c r="A51" s="85" t="s">
        <v>82</v>
      </c>
      <c r="B51" s="19" t="str">
        <f>A51</f>
        <v>Despesas financeiras</v>
      </c>
      <c r="C51" s="20">
        <v>0</v>
      </c>
      <c r="D51" s="43">
        <v>1977.6700000000003</v>
      </c>
      <c r="E51" s="124">
        <f t="shared" si="5"/>
        <v>-1</v>
      </c>
      <c r="F51" s="44">
        <v>0</v>
      </c>
      <c r="G51" s="135">
        <f t="shared" si="6"/>
        <v>0</v>
      </c>
      <c r="H51" s="118">
        <v>97027.200000000012</v>
      </c>
      <c r="I51" s="118">
        <v>80907.520000000004</v>
      </c>
    </row>
    <row r="52" spans="1:9" s="45" customFormat="1" x14ac:dyDescent="0.3">
      <c r="B52" s="39" t="s">
        <v>83</v>
      </c>
      <c r="C52" s="53">
        <f>SUM(C53)</f>
        <v>0</v>
      </c>
      <c r="D52" s="65">
        <f>SUM(D53)</f>
        <v>38767.4</v>
      </c>
      <c r="E52" s="129">
        <f t="shared" si="5"/>
        <v>-1</v>
      </c>
      <c r="F52" s="66">
        <f>SUM(F53)</f>
        <v>0</v>
      </c>
      <c r="G52" s="138">
        <f t="shared" si="6"/>
        <v>0</v>
      </c>
      <c r="H52" s="151">
        <f t="shared" ref="H52:I52" si="13">SUM(H53)</f>
        <v>18394.03</v>
      </c>
      <c r="I52" s="151">
        <f t="shared" si="13"/>
        <v>7308.7</v>
      </c>
    </row>
    <row r="53" spans="1:9" x14ac:dyDescent="0.3">
      <c r="A53" s="85" t="s">
        <v>83</v>
      </c>
      <c r="B53" s="19" t="str">
        <f>A53</f>
        <v>Tributários fiscais e taxas</v>
      </c>
      <c r="C53" s="20">
        <v>0</v>
      </c>
      <c r="D53" s="43">
        <v>38767.4</v>
      </c>
      <c r="E53" s="16">
        <f t="shared" si="5"/>
        <v>-1</v>
      </c>
      <c r="F53" s="44">
        <v>0</v>
      </c>
      <c r="G53" s="24">
        <f t="shared" si="6"/>
        <v>0</v>
      </c>
      <c r="H53" s="118">
        <v>18394.03</v>
      </c>
      <c r="I53" s="118">
        <v>7308.7</v>
      </c>
    </row>
    <row r="54" spans="1:9" x14ac:dyDescent="0.3">
      <c r="B54" s="26" t="s">
        <v>51</v>
      </c>
      <c r="C54" s="51">
        <f>SUM(C52+C48+C45+C43+C39+C36+C32)</f>
        <v>17491232.385822244</v>
      </c>
      <c r="D54" s="49">
        <f>SUM(D52+D48+D45+D43+D39+D36+D32)</f>
        <v>15886808.293492071</v>
      </c>
      <c r="E54" s="121">
        <f t="shared" si="5"/>
        <v>0.10099096449646305</v>
      </c>
      <c r="F54" s="49">
        <f>SUM(F52+F48+F45+F43+F39+F36+F32)</f>
        <v>14928912.170000006</v>
      </c>
      <c r="G54" s="120">
        <f t="shared" si="6"/>
        <v>0.17163475721769461</v>
      </c>
      <c r="H54" s="150">
        <f t="shared" ref="H54:I54" si="14">SUM(H52+H48+H45+H43+H39+H36+H32)</f>
        <v>15436892.860000001</v>
      </c>
      <c r="I54" s="142">
        <f t="shared" si="14"/>
        <v>13055611.559999999</v>
      </c>
    </row>
  </sheetData>
  <mergeCells count="3">
    <mergeCell ref="B3:B4"/>
    <mergeCell ref="B9:B10"/>
    <mergeCell ref="B30:B31"/>
  </mergeCells>
  <pageMargins left="0.511811024" right="0.511811024" top="0.78740157499999996" bottom="0.78740157499999996" header="0.31496062000000002" footer="0.31496062000000002"/>
  <ignoredErrors>
    <ignoredError sqref="F36 F39 F43:F48 F52 C52:D52 C43:D48 C39:D39 C36:D36" formula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8"/>
  <sheetViews>
    <sheetView showGridLines="0" showRowColHeaders="0" topLeftCell="B1" workbookViewId="0">
      <selection activeCell="C5" sqref="C5"/>
    </sheetView>
  </sheetViews>
  <sheetFormatPr defaultRowHeight="14.4" x14ac:dyDescent="0.3"/>
  <cols>
    <col min="1" max="1" width="37.88671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372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45" t="str">
        <f>B5</f>
        <v>Social</v>
      </c>
      <c r="B5" s="13" t="str">
        <f>'81 e 82-SOC'!B5</f>
        <v>Social</v>
      </c>
      <c r="C5" s="20">
        <v>16860799</v>
      </c>
      <c r="D5" s="43">
        <f>'81 e 82-SOC'!D5</f>
        <v>15886808.293492075</v>
      </c>
      <c r="E5" s="16">
        <f>IFERROR(C5/D5-1,0)</f>
        <v>6.1308142486172779E-2</v>
      </c>
      <c r="F5" s="44">
        <f>'81 e 82-SOC'!F5</f>
        <v>14928912.170000013</v>
      </c>
      <c r="G5" s="17">
        <f>IFERROR(C5/F5-1,0)</f>
        <v>0.12940573351902751</v>
      </c>
      <c r="H5" s="118">
        <f>'81 e 82-SOC'!H5</f>
        <v>15436892.860000001</v>
      </c>
      <c r="I5" s="118">
        <f>'81 e 82-SOC'!I5</f>
        <v>13067095.880000005</v>
      </c>
    </row>
    <row r="6" spans="1:9" s="38" customFormat="1" x14ac:dyDescent="0.3">
      <c r="A6" s="45" t="str">
        <f>B6</f>
        <v>Veteranos</v>
      </c>
      <c r="B6" s="61" t="str">
        <f>'81 e 82-SOC'!B6</f>
        <v>Veteranos</v>
      </c>
      <c r="C6" s="40">
        <f>'81 e 82-SOC'!C6</f>
        <v>630433.63553000009</v>
      </c>
      <c r="D6" s="41">
        <f>'81 e 82-SOC'!D6</f>
        <v>732921.38133531157</v>
      </c>
      <c r="E6" s="129">
        <f t="shared" ref="E6:E33" si="0">IFERROR(C6/D6-1,0)</f>
        <v>-0.13983456945762551</v>
      </c>
      <c r="F6" s="42">
        <f>'81 e 82-SOC'!F6</f>
        <v>764694.07999999984</v>
      </c>
      <c r="G6" s="130">
        <f t="shared" ref="G6:G33" si="1">IFERROR(C6/F6-1,0)</f>
        <v>-0.1755740602438034</v>
      </c>
      <c r="H6" s="147">
        <f>'81 e 82-SOC'!H6</f>
        <v>563586.00999999989</v>
      </c>
      <c r="I6" s="147">
        <f>'81 e 82-SOC'!I6</f>
        <v>454454.11</v>
      </c>
    </row>
    <row r="7" spans="1:9" x14ac:dyDescent="0.3">
      <c r="B7" s="46" t="s">
        <v>51</v>
      </c>
      <c r="C7" s="51">
        <f>SUM(C5:C6)</f>
        <v>17491232.635529999</v>
      </c>
      <c r="D7" s="49">
        <f>SUM(D5:D6)</f>
        <v>16619729.674827386</v>
      </c>
      <c r="E7" s="121">
        <f t="shared" si="0"/>
        <v>5.2437854150095609E-2</v>
      </c>
      <c r="F7" s="49">
        <f>SUM(F5:F6)</f>
        <v>15693606.250000013</v>
      </c>
      <c r="G7" s="122">
        <f t="shared" si="1"/>
        <v>0.11454514385627479</v>
      </c>
      <c r="H7" s="150">
        <f t="shared" ref="H7:I7" si="2">SUM(H5:H6)</f>
        <v>16000478.870000001</v>
      </c>
      <c r="I7" s="142">
        <f t="shared" si="2"/>
        <v>13521549.990000004</v>
      </c>
    </row>
    <row r="8" spans="1:9" x14ac:dyDescent="0.3">
      <c r="B8" s="38"/>
      <c r="C8" s="50"/>
      <c r="D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 s="78" t="s">
        <v>373</v>
      </c>
      <c r="B11" s="19" t="str">
        <f>A11</f>
        <v xml:space="preserve">Atividades e Eventos para Veteranos </v>
      </c>
      <c r="C11" s="20">
        <v>630433.63553000009</v>
      </c>
      <c r="D11" s="118">
        <v>732921.38133531157</v>
      </c>
      <c r="E11" s="141">
        <f t="shared" si="0"/>
        <v>-0.13983456945762551</v>
      </c>
      <c r="F11" s="119">
        <v>764694.07999999984</v>
      </c>
      <c r="G11" s="22">
        <f>IFERROR(C11/F11-1,0)</f>
        <v>-0.1755740602438034</v>
      </c>
      <c r="H11" s="118">
        <v>563586.00999999989</v>
      </c>
      <c r="I11" s="118">
        <v>454454.11</v>
      </c>
    </row>
    <row r="12" spans="1:9" x14ac:dyDescent="0.3">
      <c r="B12" s="46" t="s">
        <v>51</v>
      </c>
      <c r="C12" s="51">
        <f>SUM(C11:C11)</f>
        <v>630433.63553000009</v>
      </c>
      <c r="D12" s="28">
        <f>SUM(D11:D11)</f>
        <v>732921.38133531157</v>
      </c>
      <c r="E12" s="121">
        <f t="shared" si="0"/>
        <v>-0.13983456945762551</v>
      </c>
      <c r="F12" s="28">
        <f>SUM(F11:F11)</f>
        <v>764694.07999999984</v>
      </c>
      <c r="G12" s="122">
        <f>IFERROR(C12/F12-1,0)</f>
        <v>-0.1755740602438034</v>
      </c>
      <c r="H12" s="150">
        <f t="shared" ref="H12:I12" si="3">SUM(H11:H11)</f>
        <v>563586.00999999989</v>
      </c>
      <c r="I12" s="142">
        <f t="shared" si="3"/>
        <v>454454.11</v>
      </c>
    </row>
    <row r="13" spans="1:9" x14ac:dyDescent="0.3">
      <c r="B13" s="38"/>
      <c r="C13" s="50"/>
      <c r="D13" s="50"/>
      <c r="H13" s="50"/>
      <c r="I13" s="50"/>
    </row>
    <row r="14" spans="1:9" x14ac:dyDescent="0.3">
      <c r="B14" s="202" t="s">
        <v>56</v>
      </c>
      <c r="C14" s="8"/>
      <c r="D14" s="8"/>
      <c r="E14" s="36"/>
      <c r="F14" s="36"/>
      <c r="G14" s="36"/>
      <c r="H14" s="8"/>
      <c r="I14" s="8"/>
    </row>
    <row r="15" spans="1:9" ht="43.2" x14ac:dyDescent="0.3">
      <c r="B15" s="203"/>
      <c r="C15" s="10" t="str">
        <f>'23-Despesas '!C$4</f>
        <v>Orçamento 2026</v>
      </c>
      <c r="D15" s="10" t="str">
        <f>'23-Despesas '!D$4</f>
        <v>Projeção 2025</v>
      </c>
      <c r="E15" s="11" t="s">
        <v>6</v>
      </c>
      <c r="F15" s="37" t="str">
        <f>'23-Despesas '!F$4</f>
        <v>Orçamento 2025</v>
      </c>
      <c r="G15" s="12" t="s">
        <v>8</v>
      </c>
      <c r="H15" s="10" t="s">
        <v>382</v>
      </c>
      <c r="I15" s="10" t="s">
        <v>197</v>
      </c>
    </row>
    <row r="16" spans="1:9" x14ac:dyDescent="0.3">
      <c r="B16" s="39" t="s">
        <v>57</v>
      </c>
      <c r="C16" s="53">
        <f>SUM(C17:C17)</f>
        <v>4657.6524999999983</v>
      </c>
      <c r="D16" s="54">
        <f>SUM(D17:D17)</f>
        <v>3329.66</v>
      </c>
      <c r="E16" s="129">
        <f t="shared" si="0"/>
        <v>0.39883726867007407</v>
      </c>
      <c r="F16" s="55">
        <f>SUM(F17:F17)</f>
        <v>0</v>
      </c>
      <c r="G16" s="138">
        <f t="shared" si="1"/>
        <v>0</v>
      </c>
      <c r="H16" s="151">
        <f t="shared" ref="H16:I16" si="4">SUM(H17:H17)</f>
        <v>4491.67</v>
      </c>
      <c r="I16" s="151">
        <f t="shared" si="4"/>
        <v>3633.45</v>
      </c>
    </row>
    <row r="17" spans="1:9" x14ac:dyDescent="0.3">
      <c r="A17" s="85" t="s">
        <v>58</v>
      </c>
      <c r="B17" s="19" t="str">
        <f>A17</f>
        <v>Salários e provisões</v>
      </c>
      <c r="C17" s="20">
        <v>4657.6524999999983</v>
      </c>
      <c r="D17" s="43">
        <v>3329.66</v>
      </c>
      <c r="E17" s="16">
        <f t="shared" si="0"/>
        <v>0.39883726867007407</v>
      </c>
      <c r="F17" s="44">
        <v>0</v>
      </c>
      <c r="G17" s="22">
        <f t="shared" si="1"/>
        <v>0</v>
      </c>
      <c r="H17" s="118">
        <v>4491.67</v>
      </c>
      <c r="I17" s="118">
        <v>3633.45</v>
      </c>
    </row>
    <row r="18" spans="1:9" x14ac:dyDescent="0.3">
      <c r="B18" s="39" t="s">
        <v>62</v>
      </c>
      <c r="C18" s="53">
        <f>SUM(C19:C20)</f>
        <v>410948.48725000001</v>
      </c>
      <c r="D18" s="54">
        <f t="shared" ref="D18:I18" si="5">SUM(D19:D20)</f>
        <v>414104.95739552984</v>
      </c>
      <c r="E18" s="131">
        <f t="shared" si="0"/>
        <v>-7.6223915921753704E-3</v>
      </c>
      <c r="F18" s="55">
        <f t="shared" si="5"/>
        <v>436264.06000000006</v>
      </c>
      <c r="G18" s="132">
        <f t="shared" si="1"/>
        <v>-5.8028095988470918E-2</v>
      </c>
      <c r="H18" s="151">
        <f t="shared" si="5"/>
        <v>359464.67000000004</v>
      </c>
      <c r="I18" s="151">
        <f t="shared" si="5"/>
        <v>278480.51</v>
      </c>
    </row>
    <row r="19" spans="1:9" x14ac:dyDescent="0.3">
      <c r="A19" s="78" t="s">
        <v>63</v>
      </c>
      <c r="B19" s="19" t="str">
        <f>A19</f>
        <v>Serviços contratados</v>
      </c>
      <c r="C19" s="20">
        <v>410948.48725000001</v>
      </c>
      <c r="D19" s="43">
        <v>414104.95739552984</v>
      </c>
      <c r="E19" s="127">
        <f t="shared" si="0"/>
        <v>-7.6223915921753704E-3</v>
      </c>
      <c r="F19" s="44">
        <v>436264.06000000006</v>
      </c>
      <c r="G19" s="128">
        <f t="shared" si="1"/>
        <v>-5.8028095988470918E-2</v>
      </c>
      <c r="H19" s="118">
        <v>358063.67000000004</v>
      </c>
      <c r="I19" s="118">
        <v>278480.51</v>
      </c>
    </row>
    <row r="20" spans="1:9" s="38" customFormat="1" x14ac:dyDescent="0.3">
      <c r="A20" s="78" t="s">
        <v>100</v>
      </c>
      <c r="B20" s="19" t="str">
        <f>A20</f>
        <v>Encargos sobre serviços contratados</v>
      </c>
      <c r="C20" s="20">
        <v>0</v>
      </c>
      <c r="D20" s="43">
        <v>0</v>
      </c>
      <c r="E20" s="124">
        <f t="shared" si="0"/>
        <v>0</v>
      </c>
      <c r="F20" s="44">
        <v>0</v>
      </c>
      <c r="G20" s="126">
        <f t="shared" si="1"/>
        <v>0</v>
      </c>
      <c r="H20" s="118">
        <v>1401</v>
      </c>
      <c r="I20" s="118">
        <v>0</v>
      </c>
    </row>
    <row r="21" spans="1:9" x14ac:dyDescent="0.3">
      <c r="B21" s="39" t="s">
        <v>64</v>
      </c>
      <c r="C21" s="53">
        <f>SUM(C22:C24)</f>
        <v>135701.33388000002</v>
      </c>
      <c r="D21" s="54">
        <f>SUM(D22:D24)</f>
        <v>224488.46786381039</v>
      </c>
      <c r="E21" s="131">
        <f t="shared" si="0"/>
        <v>-0.39550866389125405</v>
      </c>
      <c r="F21" s="55">
        <f>SUM(F22:F24)</f>
        <v>234685.75999999998</v>
      </c>
      <c r="G21" s="132">
        <f t="shared" si="1"/>
        <v>-0.42177431694193956</v>
      </c>
      <c r="H21" s="151">
        <f t="shared" ref="H21:I21" si="6">SUM(H22:H24)</f>
        <v>137833.74000000002</v>
      </c>
      <c r="I21" s="151">
        <f t="shared" si="6"/>
        <v>127306.67</v>
      </c>
    </row>
    <row r="22" spans="1:9" x14ac:dyDescent="0.3">
      <c r="A22" s="85" t="s">
        <v>66</v>
      </c>
      <c r="B22" s="19" t="str">
        <f>A22</f>
        <v>Mercadoria de revenda e consumo</v>
      </c>
      <c r="C22" s="20">
        <v>131112.06400000001</v>
      </c>
      <c r="D22" s="43">
        <v>222575.62498720686</v>
      </c>
      <c r="E22" s="127">
        <f t="shared" si="0"/>
        <v>-0.41093251335344538</v>
      </c>
      <c r="F22" s="44">
        <v>231569.75999999998</v>
      </c>
      <c r="G22" s="128">
        <f t="shared" si="1"/>
        <v>-0.43381180686113752</v>
      </c>
      <c r="H22" s="118">
        <v>135666.77000000002</v>
      </c>
      <c r="I22" s="118">
        <v>126994.41</v>
      </c>
    </row>
    <row r="23" spans="1:9" x14ac:dyDescent="0.3">
      <c r="A23" s="85" t="s">
        <v>65</v>
      </c>
      <c r="B23" s="19" t="str">
        <f>A23</f>
        <v>Material de consumo geral</v>
      </c>
      <c r="C23" s="20">
        <v>4589.2698799999989</v>
      </c>
      <c r="D23" s="43">
        <v>1630.342876603537</v>
      </c>
      <c r="E23" s="127">
        <f t="shared" si="0"/>
        <v>1.8149108668237566</v>
      </c>
      <c r="F23" s="44">
        <v>3116</v>
      </c>
      <c r="G23" s="128">
        <f t="shared" si="1"/>
        <v>0.47280804878048754</v>
      </c>
      <c r="H23" s="118">
        <v>2166.9700000000003</v>
      </c>
      <c r="I23" s="118">
        <v>312.26</v>
      </c>
    </row>
    <row r="24" spans="1:9" x14ac:dyDescent="0.3">
      <c r="A24" s="85" t="s">
        <v>67</v>
      </c>
      <c r="B24" s="19" t="str">
        <f>A24</f>
        <v>Mercadoria de uso geral</v>
      </c>
      <c r="C24" s="20">
        <v>0</v>
      </c>
      <c r="D24" s="43">
        <v>282.5</v>
      </c>
      <c r="E24" s="124">
        <f t="shared" si="0"/>
        <v>-1</v>
      </c>
      <c r="F24" s="44">
        <v>0</v>
      </c>
      <c r="G24" s="126">
        <f t="shared" si="1"/>
        <v>0</v>
      </c>
      <c r="H24" s="118">
        <v>0</v>
      </c>
      <c r="I24" s="118">
        <v>0</v>
      </c>
    </row>
    <row r="25" spans="1:9" s="45" customFormat="1" hidden="1" x14ac:dyDescent="0.3">
      <c r="B25" s="39" t="s">
        <v>68</v>
      </c>
      <c r="C25" s="40">
        <f>SUM(C26)</f>
        <v>0</v>
      </c>
      <c r="D25" s="62">
        <f>SUM(D26)</f>
        <v>0</v>
      </c>
      <c r="E25" s="16">
        <f t="shared" si="0"/>
        <v>0</v>
      </c>
      <c r="F25" s="63">
        <f>SUM(F26)</f>
        <v>0</v>
      </c>
      <c r="G25" s="22">
        <f t="shared" si="1"/>
        <v>0</v>
      </c>
      <c r="H25" s="147">
        <f t="shared" ref="H25:I25" si="7">SUM(H26)</f>
        <v>0</v>
      </c>
      <c r="I25" s="147">
        <f t="shared" si="7"/>
        <v>0</v>
      </c>
    </row>
    <row r="26" spans="1:9" hidden="1" x14ac:dyDescent="0.3">
      <c r="B26" s="19" t="s">
        <v>68</v>
      </c>
      <c r="C26" s="20">
        <v>0</v>
      </c>
      <c r="D26" s="43"/>
      <c r="E26" s="16">
        <f t="shared" si="0"/>
        <v>0</v>
      </c>
      <c r="F26" s="44">
        <v>0</v>
      </c>
      <c r="G26" s="22">
        <f t="shared" si="1"/>
        <v>0</v>
      </c>
      <c r="H26" s="118">
        <v>0</v>
      </c>
      <c r="I26" s="118">
        <v>0</v>
      </c>
    </row>
    <row r="27" spans="1:9" hidden="1" x14ac:dyDescent="0.3">
      <c r="B27" s="39" t="s">
        <v>69</v>
      </c>
      <c r="C27" s="14">
        <f>SUM(C28)</f>
        <v>0</v>
      </c>
      <c r="D27" s="101">
        <f>SUM(D28)</f>
        <v>0</v>
      </c>
      <c r="E27" s="16">
        <f t="shared" si="0"/>
        <v>0</v>
      </c>
      <c r="F27" s="86">
        <f>SUM(F28)</f>
        <v>0</v>
      </c>
      <c r="G27" s="22">
        <f t="shared" si="1"/>
        <v>0</v>
      </c>
      <c r="H27" s="153">
        <f t="shared" ref="H27:I27" si="8">SUM(H28)</f>
        <v>0</v>
      </c>
      <c r="I27" s="153">
        <f t="shared" si="8"/>
        <v>0</v>
      </c>
    </row>
    <row r="28" spans="1:9" hidden="1" x14ac:dyDescent="0.3">
      <c r="B28" s="19" t="s">
        <v>70</v>
      </c>
      <c r="C28" s="20">
        <v>0</v>
      </c>
      <c r="D28" s="43">
        <v>0</v>
      </c>
      <c r="E28" s="16">
        <f t="shared" si="0"/>
        <v>0</v>
      </c>
      <c r="F28" s="44">
        <v>0</v>
      </c>
      <c r="G28" s="22">
        <f t="shared" si="1"/>
        <v>0</v>
      </c>
      <c r="H28" s="118">
        <v>0</v>
      </c>
      <c r="I28" s="118">
        <v>0</v>
      </c>
    </row>
    <row r="29" spans="1:9" x14ac:dyDescent="0.3">
      <c r="B29" s="39" t="s">
        <v>71</v>
      </c>
      <c r="C29" s="53">
        <f>SUM(C30:C32)</f>
        <v>79126.161900000006</v>
      </c>
      <c r="D29" s="54">
        <f>SUM(D30:D32)</f>
        <v>90998.296075971361</v>
      </c>
      <c r="E29" s="129">
        <f t="shared" si="0"/>
        <v>-0.1304654558153453</v>
      </c>
      <c r="F29" s="55">
        <f>SUM(F30:F32)</f>
        <v>93744.260000000009</v>
      </c>
      <c r="G29" s="130">
        <f t="shared" si="1"/>
        <v>-0.15593592717036753</v>
      </c>
      <c r="H29" s="151">
        <f t="shared" ref="H29:I29" si="9">SUM(H30:H32)</f>
        <v>61795.93</v>
      </c>
      <c r="I29" s="151">
        <f t="shared" si="9"/>
        <v>45033.479999999996</v>
      </c>
    </row>
    <row r="30" spans="1:9" x14ac:dyDescent="0.3">
      <c r="A30" s="85" t="s">
        <v>73</v>
      </c>
      <c r="B30" s="19" t="str">
        <f>A30</f>
        <v>Outros gastos gerais</v>
      </c>
      <c r="C30" s="20">
        <v>51221.361899999996</v>
      </c>
      <c r="D30" s="43">
        <v>53715.701576647436</v>
      </c>
      <c r="E30" s="16">
        <f t="shared" si="0"/>
        <v>-4.6435950819487037E-2</v>
      </c>
      <c r="F30" s="44">
        <v>58704.26</v>
      </c>
      <c r="G30" s="22">
        <f t="shared" si="1"/>
        <v>-0.12746771869707596</v>
      </c>
      <c r="H30" s="118">
        <v>28690.090000000004</v>
      </c>
      <c r="I30" s="118">
        <v>22949.93</v>
      </c>
    </row>
    <row r="31" spans="1:9" x14ac:dyDescent="0.3">
      <c r="A31" s="85" t="s">
        <v>72</v>
      </c>
      <c r="B31" s="19" t="str">
        <f>A31</f>
        <v>Locomoções gerais - viagens - estadias</v>
      </c>
      <c r="C31" s="20">
        <v>27904.800000000007</v>
      </c>
      <c r="D31" s="43">
        <v>37279.254499323921</v>
      </c>
      <c r="E31" s="16">
        <f t="shared" si="0"/>
        <v>-0.25146571800393502</v>
      </c>
      <c r="F31" s="44">
        <v>35040</v>
      </c>
      <c r="G31" s="22">
        <f t="shared" si="1"/>
        <v>-0.20363013698630117</v>
      </c>
      <c r="H31" s="118">
        <v>33011.839999999997</v>
      </c>
      <c r="I31" s="118">
        <v>22053.74</v>
      </c>
    </row>
    <row r="32" spans="1:9" x14ac:dyDescent="0.3">
      <c r="A32" s="85" t="s">
        <v>82</v>
      </c>
      <c r="B32" s="19" t="str">
        <f>A32</f>
        <v>Despesas financeiras</v>
      </c>
      <c r="C32" s="20">
        <v>0</v>
      </c>
      <c r="D32" s="43">
        <v>3.34</v>
      </c>
      <c r="E32" s="16">
        <f t="shared" si="0"/>
        <v>-1</v>
      </c>
      <c r="F32" s="44">
        <v>0</v>
      </c>
      <c r="G32" s="22">
        <f t="shared" si="1"/>
        <v>0</v>
      </c>
      <c r="H32" s="118">
        <v>94</v>
      </c>
      <c r="I32" s="118">
        <v>29.81</v>
      </c>
    </row>
    <row r="33" spans="2:9" x14ac:dyDescent="0.3">
      <c r="B33" s="26" t="s">
        <v>51</v>
      </c>
      <c r="C33" s="51">
        <f>SUM(C29+C25+C21+C18+C16+C27)</f>
        <v>630433.63552999997</v>
      </c>
      <c r="D33" s="49">
        <f>SUM(D29+D25+D21+D18+D16+D27)</f>
        <v>732921.38133531169</v>
      </c>
      <c r="E33" s="121">
        <f t="shared" si="0"/>
        <v>-0.13983456945762585</v>
      </c>
      <c r="F33" s="49">
        <f>SUM(F29+F25+F21+F18+F16+F27)</f>
        <v>764694.08000000007</v>
      </c>
      <c r="G33" s="122">
        <f t="shared" si="1"/>
        <v>-0.17557406024380373</v>
      </c>
      <c r="H33" s="150">
        <f t="shared" ref="H33:I33" si="10">SUM(H29+H25+H21+H18+H16+H27)</f>
        <v>563586.01000000013</v>
      </c>
      <c r="I33" s="142">
        <f t="shared" si="10"/>
        <v>454454.11000000004</v>
      </c>
    </row>
    <row r="35" spans="2:9" x14ac:dyDescent="0.3">
      <c r="B35" s="5"/>
    </row>
    <row r="36" spans="2:9" x14ac:dyDescent="0.3">
      <c r="B36" s="5"/>
    </row>
    <row r="37" spans="2:9" x14ac:dyDescent="0.3">
      <c r="B37" s="5"/>
    </row>
    <row r="38" spans="2:9" x14ac:dyDescent="0.3">
      <c r="B38" s="5"/>
    </row>
  </sheetData>
  <mergeCells count="3">
    <mergeCell ref="B3:B4"/>
    <mergeCell ref="B9:B10"/>
    <mergeCell ref="B14:B15"/>
  </mergeCells>
  <pageMargins left="0.511811024" right="0.511811024" top="0.78740157499999996" bottom="0.78740157499999996" header="0.31496062000000002" footer="0.31496062000000002"/>
  <ignoredErrors>
    <ignoredError sqref="F21 F25:F29 C25:D29 C21:D21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4"/>
  <sheetViews>
    <sheetView showGridLines="0" showRowColHeaders="0" topLeftCell="B9" workbookViewId="0">
      <selection activeCell="C25" sqref="C25"/>
    </sheetView>
  </sheetViews>
  <sheetFormatPr defaultRowHeight="14.4" x14ac:dyDescent="0.3"/>
  <cols>
    <col min="1" max="1" width="22.5546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17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85" t="s">
        <v>17</v>
      </c>
      <c r="B5" s="61" t="s">
        <v>17</v>
      </c>
      <c r="C5" s="40">
        <v>26907269</v>
      </c>
      <c r="D5" s="41">
        <v>25100791.938449781</v>
      </c>
      <c r="E5" s="129">
        <f>IFERROR(C5/D5-1,0)</f>
        <v>7.1968926955767731E-2</v>
      </c>
      <c r="F5" s="42">
        <v>20417239.950000003</v>
      </c>
      <c r="G5" s="133">
        <f>IFERROR(C5/F5-1,0)</f>
        <v>0.31787004834607901</v>
      </c>
      <c r="H5" s="147">
        <v>18628728.209999997</v>
      </c>
      <c r="I5" s="147">
        <v>19289152.449999996</v>
      </c>
    </row>
    <row r="6" spans="1:9" x14ac:dyDescent="0.3">
      <c r="B6" s="46" t="s">
        <v>51</v>
      </c>
      <c r="C6" s="47">
        <f>SUM(C5:C5)</f>
        <v>26907269</v>
      </c>
      <c r="D6" s="49">
        <f>SUM(D5:D5)</f>
        <v>25100791.938449781</v>
      </c>
      <c r="E6" s="121">
        <f t="shared" ref="E6:E29" si="0">IFERROR(C6/D6-1,0)</f>
        <v>7.1968926955767731E-2</v>
      </c>
      <c r="F6" s="49">
        <f>SUM(F5:F5)</f>
        <v>20417239.950000003</v>
      </c>
      <c r="G6" s="122">
        <f t="shared" ref="G6:G29" si="1">IFERROR(C6/F6-1,0)</f>
        <v>0.31787004834607901</v>
      </c>
      <c r="H6" s="148">
        <f t="shared" ref="H6:I6" si="2">SUM(H5:H5)</f>
        <v>18628728.209999997</v>
      </c>
      <c r="I6" s="149">
        <f t="shared" si="2"/>
        <v>19289152.449999996</v>
      </c>
    </row>
    <row r="7" spans="1:9" x14ac:dyDescent="0.3">
      <c r="B7" s="38"/>
      <c r="C7" s="50"/>
      <c r="D7" s="50"/>
      <c r="H7" s="50"/>
      <c r="I7" s="50"/>
    </row>
    <row r="8" spans="1:9" x14ac:dyDescent="0.3">
      <c r="B8" s="202" t="s">
        <v>52</v>
      </c>
      <c r="C8" s="8"/>
      <c r="D8" s="8"/>
      <c r="E8" s="36"/>
      <c r="F8" s="36"/>
      <c r="G8" s="36"/>
      <c r="H8" s="8"/>
      <c r="I8" s="8"/>
    </row>
    <row r="9" spans="1:9" ht="43.2" x14ac:dyDescent="0.3">
      <c r="B9" s="203"/>
      <c r="C9" s="10" t="str">
        <f>'23-Despesas '!C$4</f>
        <v>Orçamento 2026</v>
      </c>
      <c r="D9" s="10" t="str">
        <f>'23-Despesas '!D$4</f>
        <v>Projeção 2025</v>
      </c>
      <c r="E9" s="11" t="s">
        <v>6</v>
      </c>
      <c r="F9" s="37" t="str">
        <f>'23-Despesas '!F$4</f>
        <v>Orçamento 2025</v>
      </c>
      <c r="G9" s="12" t="s">
        <v>8</v>
      </c>
      <c r="H9" s="10" t="s">
        <v>382</v>
      </c>
      <c r="I9" s="10" t="s">
        <v>197</v>
      </c>
    </row>
    <row r="10" spans="1:9" x14ac:dyDescent="0.3">
      <c r="A10" s="78" t="s">
        <v>17</v>
      </c>
      <c r="B10" s="19" t="str">
        <f>A10</f>
        <v>Custeio Geral</v>
      </c>
      <c r="C10" s="20">
        <v>26907269</v>
      </c>
      <c r="D10" s="21">
        <v>25100791.938449781</v>
      </c>
      <c r="E10" s="16">
        <f t="shared" si="0"/>
        <v>7.1968926955767731E-2</v>
      </c>
      <c r="F10" s="64">
        <v>20417239.950000003</v>
      </c>
      <c r="G10" s="22">
        <f>IFERROR(C10/F10-1,0)</f>
        <v>0.31787004834607901</v>
      </c>
      <c r="H10" s="118">
        <v>18628728.209999997</v>
      </c>
      <c r="I10" s="118">
        <v>19289152.449999996</v>
      </c>
    </row>
    <row r="11" spans="1:9" x14ac:dyDescent="0.3">
      <c r="B11" s="46" t="s">
        <v>51</v>
      </c>
      <c r="C11" s="51">
        <f>SUM(C10)</f>
        <v>26907269</v>
      </c>
      <c r="D11" s="28">
        <f>SUM(D10)</f>
        <v>25100791.938449781</v>
      </c>
      <c r="E11" s="121">
        <f t="shared" si="0"/>
        <v>7.1968926955767731E-2</v>
      </c>
      <c r="F11" s="28">
        <f>SUM(F10)</f>
        <v>20417239.950000003</v>
      </c>
      <c r="G11" s="122">
        <f>IFERROR(C11/F11-1,0)</f>
        <v>0.31787004834607901</v>
      </c>
      <c r="H11" s="150">
        <f t="shared" ref="H11:I11" si="3">SUM(H10)</f>
        <v>18628728.209999997</v>
      </c>
      <c r="I11" s="142">
        <f t="shared" si="3"/>
        <v>19289152.449999996</v>
      </c>
    </row>
    <row r="12" spans="1:9" x14ac:dyDescent="0.3">
      <c r="B12" s="38"/>
      <c r="C12" s="50"/>
      <c r="D12" s="50"/>
      <c r="H12" s="50"/>
      <c r="I12" s="50"/>
    </row>
    <row r="13" spans="1:9" x14ac:dyDescent="0.3">
      <c r="B13" s="202" t="s">
        <v>56</v>
      </c>
      <c r="C13" s="8"/>
      <c r="D13" s="8"/>
      <c r="E13" s="36"/>
      <c r="F13" s="36"/>
      <c r="G13" s="36"/>
      <c r="H13" s="8"/>
      <c r="I13" s="8"/>
    </row>
    <row r="14" spans="1:9" ht="43.2" x14ac:dyDescent="0.3">
      <c r="B14" s="203"/>
      <c r="C14" s="103" t="str">
        <f>'23-Despesas '!C$4</f>
        <v>Orçamento 2026</v>
      </c>
      <c r="D14" s="10" t="str">
        <f>'23-Despesas '!D$4</f>
        <v>Projeção 2025</v>
      </c>
      <c r="E14" s="11" t="s">
        <v>6</v>
      </c>
      <c r="F14" s="37" t="str">
        <f>'23-Despesas '!F$4</f>
        <v>Orçamento 2025</v>
      </c>
      <c r="G14" s="12" t="s">
        <v>8</v>
      </c>
      <c r="H14" s="10" t="s">
        <v>382</v>
      </c>
      <c r="I14" s="10" t="s">
        <v>197</v>
      </c>
    </row>
    <row r="15" spans="1:9" x14ac:dyDescent="0.3">
      <c r="B15" s="81" t="s">
        <v>374</v>
      </c>
      <c r="C15" s="53">
        <f>SUM(C16:C19)</f>
        <v>3864348.5726449173</v>
      </c>
      <c r="D15" s="114">
        <f>SUM(D16:D19)</f>
        <v>2029943.9108843044</v>
      </c>
      <c r="E15" s="129">
        <f t="shared" si="0"/>
        <v>0.90367258520039173</v>
      </c>
      <c r="F15" s="55">
        <f>SUM(F16:F19)</f>
        <v>2084939.5699999998</v>
      </c>
      <c r="G15" s="130">
        <f t="shared" si="1"/>
        <v>0.8534583103743949</v>
      </c>
      <c r="H15" s="151">
        <f t="shared" ref="H15:I15" si="4">SUM(H16:H19)</f>
        <v>1684607.9300000002</v>
      </c>
      <c r="I15" s="151">
        <f t="shared" si="4"/>
        <v>785082.52</v>
      </c>
    </row>
    <row r="16" spans="1:9" x14ac:dyDescent="0.3">
      <c r="A16" s="78" t="s">
        <v>59</v>
      </c>
      <c r="B16" s="73" t="str">
        <f>A16</f>
        <v>Encargos sociais</v>
      </c>
      <c r="C16" s="20">
        <v>2398771.4145638808</v>
      </c>
      <c r="D16" s="79">
        <v>2029943.9108843044</v>
      </c>
      <c r="E16" s="16">
        <f t="shared" si="0"/>
        <v>0.18169344566712886</v>
      </c>
      <c r="F16" s="44">
        <v>2084939.5699999998</v>
      </c>
      <c r="G16" s="22">
        <f t="shared" si="1"/>
        <v>0.15052323294141368</v>
      </c>
      <c r="H16" s="118">
        <v>1684607.9300000002</v>
      </c>
      <c r="I16" s="118">
        <v>784403.20000000007</v>
      </c>
    </row>
    <row r="17" spans="1:9" x14ac:dyDescent="0.3">
      <c r="A17" s="78" t="s">
        <v>60</v>
      </c>
      <c r="B17" s="73" t="str">
        <f>A17</f>
        <v>Benefícios</v>
      </c>
      <c r="C17" s="20">
        <v>749750.63818277791</v>
      </c>
      <c r="D17" s="79">
        <v>0</v>
      </c>
      <c r="E17" s="16">
        <f t="shared" si="0"/>
        <v>0</v>
      </c>
      <c r="F17" s="44">
        <v>0</v>
      </c>
      <c r="G17" s="22">
        <f t="shared" si="1"/>
        <v>0</v>
      </c>
      <c r="H17" s="118">
        <v>0</v>
      </c>
      <c r="I17" s="118">
        <v>0</v>
      </c>
    </row>
    <row r="18" spans="1:9" x14ac:dyDescent="0.3">
      <c r="A18" s="78" t="s">
        <v>58</v>
      </c>
      <c r="B18" s="73" t="str">
        <f>A18</f>
        <v>Salários e provisões</v>
      </c>
      <c r="C18" s="20">
        <v>715826.5198982585</v>
      </c>
      <c r="D18" s="79">
        <v>0</v>
      </c>
      <c r="E18" s="16">
        <f t="shared" si="0"/>
        <v>0</v>
      </c>
      <c r="F18" s="44">
        <v>0</v>
      </c>
      <c r="G18" s="22">
        <f t="shared" si="1"/>
        <v>0</v>
      </c>
      <c r="H18" s="118">
        <v>0</v>
      </c>
      <c r="I18" s="118">
        <v>679.31999999999994</v>
      </c>
    </row>
    <row r="19" spans="1:9" x14ac:dyDescent="0.3">
      <c r="A19" s="78" t="s">
        <v>61</v>
      </c>
      <c r="B19" s="113" t="str">
        <f>A19</f>
        <v>Outros</v>
      </c>
      <c r="C19" s="57">
        <v>0</v>
      </c>
      <c r="D19" s="79">
        <v>0</v>
      </c>
      <c r="E19" s="16">
        <f t="shared" si="0"/>
        <v>0</v>
      </c>
      <c r="F19" s="44">
        <v>0</v>
      </c>
      <c r="G19" s="22">
        <f t="shared" si="1"/>
        <v>0</v>
      </c>
      <c r="H19" s="152">
        <v>0</v>
      </c>
      <c r="I19" s="152">
        <v>0</v>
      </c>
    </row>
    <row r="20" spans="1:9" x14ac:dyDescent="0.3">
      <c r="B20" s="61" t="s">
        <v>62</v>
      </c>
      <c r="C20" s="40">
        <f>SUM(C21)</f>
        <v>242010.72</v>
      </c>
      <c r="D20" s="54">
        <f>SUM(D21)</f>
        <v>381840.85622810689</v>
      </c>
      <c r="E20" s="131">
        <f t="shared" si="0"/>
        <v>-0.36620003843845916</v>
      </c>
      <c r="F20" s="55">
        <f>SUM(F21)</f>
        <v>328450.55</v>
      </c>
      <c r="G20" s="132">
        <f t="shared" si="1"/>
        <v>-0.26317456311155507</v>
      </c>
      <c r="H20" s="147">
        <f t="shared" ref="H20:I20" si="5">SUM(H21)</f>
        <v>288859.99999999988</v>
      </c>
      <c r="I20" s="147">
        <f t="shared" si="5"/>
        <v>313065.07</v>
      </c>
    </row>
    <row r="21" spans="1:9" x14ac:dyDescent="0.3">
      <c r="A21" s="85" t="s">
        <v>63</v>
      </c>
      <c r="B21" s="56" t="str">
        <f>A21</f>
        <v>Serviços contratados</v>
      </c>
      <c r="C21" s="20">
        <v>242010.72</v>
      </c>
      <c r="D21" s="43">
        <v>381840.85622810689</v>
      </c>
      <c r="E21" s="124">
        <f t="shared" si="0"/>
        <v>-0.36620003843845916</v>
      </c>
      <c r="F21" s="44">
        <v>328450.55</v>
      </c>
      <c r="G21" s="126">
        <f t="shared" si="1"/>
        <v>-0.26317456311155507</v>
      </c>
      <c r="H21" s="118">
        <v>288859.99999999988</v>
      </c>
      <c r="I21" s="118">
        <v>313065.07</v>
      </c>
    </row>
    <row r="22" spans="1:9" x14ac:dyDescent="0.3">
      <c r="B22" s="39" t="s">
        <v>69</v>
      </c>
      <c r="C22" s="53">
        <f>SUM(C23)</f>
        <v>21246345.519999996</v>
      </c>
      <c r="D22" s="54">
        <f>SUM(D23)</f>
        <v>20557726.873771898</v>
      </c>
      <c r="E22" s="129">
        <f t="shared" si="0"/>
        <v>3.349682824644673E-2</v>
      </c>
      <c r="F22" s="55">
        <f>SUM(F23)</f>
        <v>15777145.91</v>
      </c>
      <c r="G22" s="130">
        <f t="shared" si="1"/>
        <v>0.34665329465790529</v>
      </c>
      <c r="H22" s="151">
        <f t="shared" ref="H22:I22" si="6">SUM(H23)</f>
        <v>15214909.569999997</v>
      </c>
      <c r="I22" s="151">
        <f t="shared" si="6"/>
        <v>14784291.020000001</v>
      </c>
    </row>
    <row r="23" spans="1:9" x14ac:dyDescent="0.3">
      <c r="A23" s="85" t="s">
        <v>375</v>
      </c>
      <c r="B23" s="56" t="s">
        <v>69</v>
      </c>
      <c r="C23" s="20">
        <v>21246345.519999996</v>
      </c>
      <c r="D23" s="43">
        <v>20557726.873771898</v>
      </c>
      <c r="E23" s="16">
        <f t="shared" si="0"/>
        <v>3.349682824644673E-2</v>
      </c>
      <c r="F23" s="44">
        <v>15777145.91</v>
      </c>
      <c r="G23" s="22">
        <f t="shared" si="1"/>
        <v>0.34665329465790529</v>
      </c>
      <c r="H23" s="118">
        <v>15214909.569999997</v>
      </c>
      <c r="I23" s="118">
        <v>14784291.020000001</v>
      </c>
    </row>
    <row r="24" spans="1:9" x14ac:dyDescent="0.3">
      <c r="B24" s="39" t="s">
        <v>71</v>
      </c>
      <c r="C24" s="53">
        <f>SUM(C25:C26)</f>
        <v>1452000</v>
      </c>
      <c r="D24" s="54">
        <f>SUM(D25:D26)</f>
        <v>2131280.2975654779</v>
      </c>
      <c r="E24" s="131">
        <f t="shared" si="0"/>
        <v>-0.31871936241394772</v>
      </c>
      <c r="F24" s="55">
        <f>SUM(F25:F26)</f>
        <v>2226703.92</v>
      </c>
      <c r="G24" s="132">
        <f t="shared" si="1"/>
        <v>-0.34791510134854386</v>
      </c>
      <c r="H24" s="151">
        <f t="shared" ref="H24:I24" si="7">SUM(H25:H26)</f>
        <v>1440350.71</v>
      </c>
      <c r="I24" s="151">
        <f t="shared" si="7"/>
        <v>3406713.84</v>
      </c>
    </row>
    <row r="25" spans="1:9" x14ac:dyDescent="0.3">
      <c r="A25" s="112" t="s">
        <v>216</v>
      </c>
      <c r="B25" s="19" t="str">
        <f>A25</f>
        <v>Despesa de provisão para contingência</v>
      </c>
      <c r="C25" s="20">
        <v>1200000</v>
      </c>
      <c r="D25" s="43">
        <v>2131280.2975654779</v>
      </c>
      <c r="E25" s="127">
        <f t="shared" si="0"/>
        <v>-0.43695815075532873</v>
      </c>
      <c r="F25" s="44">
        <v>2226703.92</v>
      </c>
      <c r="G25" s="128">
        <f t="shared" si="1"/>
        <v>-0.46108686061863136</v>
      </c>
      <c r="H25" s="118">
        <v>197074.61999999994</v>
      </c>
      <c r="I25" s="118">
        <v>-330769.62</v>
      </c>
    </row>
    <row r="26" spans="1:9" x14ac:dyDescent="0.3">
      <c r="A26" s="112" t="s">
        <v>73</v>
      </c>
      <c r="B26" s="56" t="str">
        <f>A26</f>
        <v>Outros gastos gerais</v>
      </c>
      <c r="C26" s="20">
        <v>252000</v>
      </c>
      <c r="D26" s="43">
        <v>0</v>
      </c>
      <c r="E26" s="124">
        <f t="shared" si="0"/>
        <v>0</v>
      </c>
      <c r="F26" s="44">
        <v>0</v>
      </c>
      <c r="G26" s="126">
        <f t="shared" si="1"/>
        <v>0</v>
      </c>
      <c r="H26" s="118">
        <v>1243276.0900000001</v>
      </c>
      <c r="I26" s="118">
        <v>3737483.46</v>
      </c>
    </row>
    <row r="27" spans="1:9" x14ac:dyDescent="0.3">
      <c r="B27" s="61" t="s">
        <v>83</v>
      </c>
      <c r="C27" s="53">
        <f>SUM(C28)</f>
        <v>102564</v>
      </c>
      <c r="D27" s="54">
        <f>SUM(D28)</f>
        <v>0</v>
      </c>
      <c r="E27" s="129">
        <f t="shared" si="0"/>
        <v>0</v>
      </c>
      <c r="F27" s="55">
        <f>SUM(F28)</f>
        <v>0</v>
      </c>
      <c r="G27" s="130">
        <f t="shared" si="1"/>
        <v>0</v>
      </c>
      <c r="H27" s="151">
        <f t="shared" ref="H27:I27" si="8">SUM(H28)</f>
        <v>0</v>
      </c>
      <c r="I27" s="151">
        <f t="shared" si="8"/>
        <v>0</v>
      </c>
    </row>
    <row r="28" spans="1:9" x14ac:dyDescent="0.3">
      <c r="A28" s="85" t="s">
        <v>83</v>
      </c>
      <c r="B28" s="56" t="str">
        <f>A28</f>
        <v>Tributários fiscais e taxas</v>
      </c>
      <c r="C28" s="20">
        <v>102564</v>
      </c>
      <c r="D28" s="43">
        <v>0</v>
      </c>
      <c r="E28" s="16">
        <f t="shared" si="0"/>
        <v>0</v>
      </c>
      <c r="F28" s="44">
        <v>0</v>
      </c>
      <c r="G28" s="22">
        <f t="shared" si="1"/>
        <v>0</v>
      </c>
      <c r="H28" s="118">
        <v>0</v>
      </c>
      <c r="I28" s="118">
        <v>0</v>
      </c>
    </row>
    <row r="29" spans="1:9" x14ac:dyDescent="0.3">
      <c r="B29" s="26" t="s">
        <v>51</v>
      </c>
      <c r="C29" s="51">
        <f>SUM(C24+C22+C20+C15+C27)</f>
        <v>26907268.812644914</v>
      </c>
      <c r="D29" s="49">
        <f t="shared" ref="D29" si="9">SUM(D24+D22+D20+D15+D27)</f>
        <v>25100791.938449789</v>
      </c>
      <c r="E29" s="121">
        <f t="shared" si="0"/>
        <v>7.1968919491657068E-2</v>
      </c>
      <c r="F29" s="49">
        <f>SUM(F24+F22+F20+F15+F27)</f>
        <v>20417239.949999999</v>
      </c>
      <c r="G29" s="122">
        <f t="shared" si="1"/>
        <v>0.31787003916976131</v>
      </c>
      <c r="H29" s="150">
        <f t="shared" ref="H29:I29" si="10">SUM(H24+H22+H20+H15+H27)</f>
        <v>18628728.209999997</v>
      </c>
      <c r="I29" s="142">
        <f t="shared" si="10"/>
        <v>19289152.449999999</v>
      </c>
    </row>
    <row r="30" spans="1:9" x14ac:dyDescent="0.3">
      <c r="B30" s="31"/>
    </row>
    <row r="31" spans="1:9" x14ac:dyDescent="0.3">
      <c r="B31" s="5"/>
    </row>
    <row r="32" spans="1:9" x14ac:dyDescent="0.3">
      <c r="C32"/>
      <c r="D32"/>
      <c r="E32"/>
      <c r="F32"/>
      <c r="G32"/>
      <c r="H32"/>
      <c r="I32"/>
    </row>
    <row r="33" spans="2:2" x14ac:dyDescent="0.3">
      <c r="B33" s="5"/>
    </row>
    <row r="34" spans="2:2" x14ac:dyDescent="0.3">
      <c r="B34" s="5"/>
    </row>
  </sheetData>
  <mergeCells count="3">
    <mergeCell ref="B3:B4"/>
    <mergeCell ref="B8:B9"/>
    <mergeCell ref="B13:B1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F20 F22 F24 F27 C27:D27 C24:D24 C22:D22 C20:D2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9"/>
  <sheetViews>
    <sheetView showGridLines="0" showRowColHeaders="0" topLeftCell="B14" workbookViewId="0">
      <selection activeCell="K44" sqref="K44"/>
    </sheetView>
  </sheetViews>
  <sheetFormatPr defaultRowHeight="14.4" x14ac:dyDescent="0.3"/>
  <cols>
    <col min="1" max="1" width="19.77734375" hidden="1" customWidth="1"/>
    <col min="2" max="2" width="34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74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Central de Atendimento</v>
      </c>
      <c r="B5" s="13" t="str">
        <f>'30-ADM_CENTRAL'!B5</f>
        <v>Central de Atendimento</v>
      </c>
      <c r="C5" s="20">
        <f>'30-ADM_CENTRAL'!C5</f>
        <v>3233516.4559350433</v>
      </c>
      <c r="D5" s="43">
        <f>'30-ADM_CENTRAL'!D5</f>
        <v>2870553.6648320407</v>
      </c>
      <c r="E5" s="16">
        <f>IFERROR(C5/D5-1,0)</f>
        <v>0.12644347867443195</v>
      </c>
      <c r="F5" s="44">
        <f>'30-ADM_CENTRAL'!F5</f>
        <v>2980063.2399999951</v>
      </c>
      <c r="G5" s="17">
        <f>IFERROR(C5/F5-1,0)</f>
        <v>8.504960986500687E-2</v>
      </c>
      <c r="H5" s="118">
        <f>'30-ADM_CENTRAL'!H5</f>
        <v>2637586.429999996</v>
      </c>
      <c r="I5" s="118">
        <f>'30-ADM_CENTRAL'!I5</f>
        <v>2994233.25</v>
      </c>
    </row>
    <row r="6" spans="1:9" s="45" customFormat="1" x14ac:dyDescent="0.3">
      <c r="A6" s="38" t="str">
        <f>B6</f>
        <v>Ética Disciplinar</v>
      </c>
      <c r="B6" s="61" t="str">
        <f>'30-ADM_CENTRAL'!B6</f>
        <v>Ética Disciplinar</v>
      </c>
      <c r="C6" s="40">
        <f>'30-ADM_CENTRAL'!C6</f>
        <v>524238.23087338207</v>
      </c>
      <c r="D6" s="41">
        <f>'30-ADM_CENTRAL'!D6</f>
        <v>479472.82740456046</v>
      </c>
      <c r="E6" s="16">
        <f t="shared" ref="E6:E37" si="0">IFERROR(C6/D6-1,0)</f>
        <v>9.3363796466093163E-2</v>
      </c>
      <c r="F6" s="42">
        <f>'30-ADM_CENTRAL'!F6</f>
        <v>433659.15000000078</v>
      </c>
      <c r="G6" s="22">
        <f t="shared" ref="G6:G37" si="1">IFERROR(C6/F6-1,0)</f>
        <v>0.20887160082608913</v>
      </c>
      <c r="H6" s="147">
        <f>'30-ADM_CENTRAL'!H6</f>
        <v>418006.61</v>
      </c>
      <c r="I6" s="147">
        <f>'30-ADM_CENTRAL'!I6</f>
        <v>382287.66000000003</v>
      </c>
    </row>
    <row r="7" spans="1:9" s="38" customFormat="1" x14ac:dyDescent="0.3">
      <c r="A7" s="38" t="str">
        <f>B7</f>
        <v>Médica</v>
      </c>
      <c r="B7" s="19" t="str">
        <f>'30-ADM_CENTRAL'!B7</f>
        <v>Médica</v>
      </c>
      <c r="C7" s="20">
        <v>14296105</v>
      </c>
      <c r="D7" s="43">
        <f>'30-ADM_CENTRAL'!D7</f>
        <v>12700189.863069788</v>
      </c>
      <c r="E7" s="16">
        <f t="shared" si="0"/>
        <v>0.12566073059827954</v>
      </c>
      <c r="F7" s="44">
        <f>'30-ADM_CENTRAL'!F7</f>
        <v>11525889.839999985</v>
      </c>
      <c r="G7" s="22">
        <f t="shared" si="1"/>
        <v>0.2403471834674431</v>
      </c>
      <c r="H7" s="118">
        <f>'30-ADM_CENTRAL'!H7</f>
        <v>10533164.439999999</v>
      </c>
      <c r="I7" s="118">
        <f>'30-ADM_CENTRAL'!I7</f>
        <v>9923200.0199999996</v>
      </c>
    </row>
    <row r="8" spans="1:9" s="38" customFormat="1" x14ac:dyDescent="0.3">
      <c r="A8" s="38" t="str">
        <f>B8</f>
        <v>Recursos Humanos</v>
      </c>
      <c r="B8" s="19" t="str">
        <f>'30-ADM_CENTRAL'!B8</f>
        <v>Recursos Humanos</v>
      </c>
      <c r="C8" s="20">
        <f>'30-ADM_CENTRAL'!C8</f>
        <v>7228974.1997492295</v>
      </c>
      <c r="D8" s="43">
        <f>'30-ADM_CENTRAL'!D8</f>
        <v>6431517.9764331402</v>
      </c>
      <c r="E8" s="16">
        <f t="shared" si="0"/>
        <v>0.12399191392112852</v>
      </c>
      <c r="F8" s="44">
        <f>'30-ADM_CENTRAL'!F8</f>
        <v>7042665.8700000169</v>
      </c>
      <c r="G8" s="22">
        <f>IFERROR(C8/F8-1,0)</f>
        <v>2.6454233835349061E-2</v>
      </c>
      <c r="H8" s="118">
        <f>'30-ADM_CENTRAL'!H8</f>
        <v>6045258.7000000048</v>
      </c>
      <c r="I8" s="118">
        <f>'30-ADM_CENTRAL'!I8</f>
        <v>5423169.2599999998</v>
      </c>
    </row>
    <row r="9" spans="1:9" s="38" customFormat="1" x14ac:dyDescent="0.3">
      <c r="A9" s="38" t="str">
        <f>B9</f>
        <v>Segurança</v>
      </c>
      <c r="B9" s="19" t="str">
        <f>'30-ADM_CENTRAL'!B9</f>
        <v>Segurança</v>
      </c>
      <c r="C9" s="20">
        <v>22487705</v>
      </c>
      <c r="D9" s="43">
        <f>'30-ADM_CENTRAL'!D9</f>
        <v>20356908.692255907</v>
      </c>
      <c r="E9" s="16">
        <f t="shared" si="0"/>
        <v>0.10467189984276359</v>
      </c>
      <c r="F9" s="44">
        <f>'30-ADM_CENTRAL'!F9</f>
        <v>20663024.989999965</v>
      </c>
      <c r="G9" s="22">
        <f>IFERROR(C9/F9-1,0)</f>
        <v>8.8306528733479439E-2</v>
      </c>
      <c r="H9" s="118">
        <f>'30-ADM_CENTRAL'!H9</f>
        <v>19464264.200000044</v>
      </c>
      <c r="I9" s="118">
        <f>'30-ADM_CENTRAL'!I9</f>
        <v>19187698.720000006</v>
      </c>
    </row>
    <row r="10" spans="1:9" x14ac:dyDescent="0.3">
      <c r="B10" s="46" t="s">
        <v>51</v>
      </c>
      <c r="C10" s="51">
        <f>SUM(C5:C9)</f>
        <v>47770538.886557654</v>
      </c>
      <c r="D10" s="49">
        <f>SUM(D5:D9)</f>
        <v>42838643.023995437</v>
      </c>
      <c r="E10" s="121">
        <f t="shared" si="0"/>
        <v>0.11512726628151326</v>
      </c>
      <c r="F10" s="49">
        <f>SUM(F5:F9)</f>
        <v>42645303.089999959</v>
      </c>
      <c r="G10" s="120">
        <f>IFERROR(C10/F10-1,0)</f>
        <v>0.12018289061614218</v>
      </c>
      <c r="H10" s="150">
        <f t="shared" ref="H10:I10" si="2">SUM(H5:H9)</f>
        <v>39098280.38000004</v>
      </c>
      <c r="I10" s="142">
        <f t="shared" si="2"/>
        <v>37910588.910000004</v>
      </c>
    </row>
    <row r="11" spans="1:9" x14ac:dyDescent="0.3">
      <c r="B11" s="38"/>
      <c r="C11" s="50"/>
      <c r="D11" s="50"/>
      <c r="E11" s="50"/>
      <c r="F11" s="50"/>
      <c r="G11" s="50"/>
      <c r="H11" s="50"/>
      <c r="I11" s="50"/>
    </row>
    <row r="12" spans="1:9" x14ac:dyDescent="0.3">
      <c r="B12" s="202" t="s">
        <v>52</v>
      </c>
      <c r="C12" s="8"/>
      <c r="D12" s="8"/>
      <c r="E12" s="8"/>
      <c r="F12" s="8"/>
      <c r="G12" s="8"/>
      <c r="H12" s="8"/>
      <c r="I12" s="8"/>
    </row>
    <row r="13" spans="1:9" ht="43.2" x14ac:dyDescent="0.3">
      <c r="B13" s="203"/>
      <c r="C13" s="10" t="str">
        <f>'23-Despesas '!C$4</f>
        <v>Orçamento 2026</v>
      </c>
      <c r="D13" s="10" t="str">
        <f>'23-Despesas '!D$4</f>
        <v>Projeção 2025</v>
      </c>
      <c r="E13" s="11" t="s">
        <v>6</v>
      </c>
      <c r="F13" s="37" t="str">
        <f>'23-Despesas '!F$4</f>
        <v>Orçamento 2025</v>
      </c>
      <c r="G13" s="12" t="s">
        <v>8</v>
      </c>
      <c r="H13" s="10" t="s">
        <v>382</v>
      </c>
      <c r="I13" s="10" t="s">
        <v>197</v>
      </c>
    </row>
    <row r="14" spans="1:9" x14ac:dyDescent="0.3">
      <c r="A14" t="str">
        <f>B14</f>
        <v>Ética Disciplinar</v>
      </c>
      <c r="B14" s="19" t="s">
        <v>47</v>
      </c>
      <c r="C14" s="20">
        <v>524238.23087338207</v>
      </c>
      <c r="D14" s="43">
        <v>479472.82740456046</v>
      </c>
      <c r="E14" s="16">
        <f t="shared" si="0"/>
        <v>9.3363796466093163E-2</v>
      </c>
      <c r="F14" s="44">
        <v>433659.15000000078</v>
      </c>
      <c r="G14" s="24">
        <f t="shared" si="1"/>
        <v>0.20887160082608913</v>
      </c>
      <c r="H14" s="118">
        <v>418006.61</v>
      </c>
      <c r="I14" s="118">
        <v>382287.66000000003</v>
      </c>
    </row>
    <row r="15" spans="1:9" x14ac:dyDescent="0.3">
      <c r="B15" s="46" t="s">
        <v>51</v>
      </c>
      <c r="C15" s="51">
        <f>SUM(C14)</f>
        <v>524238.23087338207</v>
      </c>
      <c r="D15" s="28">
        <f>SUM(D14)</f>
        <v>479472.82740456046</v>
      </c>
      <c r="E15" s="121">
        <f t="shared" si="0"/>
        <v>9.3363796466093163E-2</v>
      </c>
      <c r="F15" s="28">
        <f>SUM(F14)</f>
        <v>433659.15000000078</v>
      </c>
      <c r="G15" s="122">
        <f t="shared" si="1"/>
        <v>0.20887160082608913</v>
      </c>
      <c r="H15" s="150">
        <f t="shared" ref="H15:I15" si="3">SUM(H14)</f>
        <v>418006.61</v>
      </c>
      <c r="I15" s="142">
        <f t="shared" si="3"/>
        <v>382287.66000000003</v>
      </c>
    </row>
    <row r="16" spans="1:9" x14ac:dyDescent="0.3">
      <c r="B16" s="38"/>
      <c r="C16" s="50"/>
      <c r="D16" s="50"/>
      <c r="E16" s="50"/>
      <c r="F16" s="50"/>
      <c r="G16" s="50"/>
      <c r="H16" s="50"/>
      <c r="I16" s="50"/>
    </row>
    <row r="17" spans="1:9" x14ac:dyDescent="0.3">
      <c r="B17" s="202" t="s">
        <v>56</v>
      </c>
      <c r="C17" s="8"/>
      <c r="D17" s="8"/>
      <c r="E17" s="8"/>
      <c r="F17" s="8"/>
      <c r="G17" s="8"/>
      <c r="H17" s="8"/>
      <c r="I17" s="8"/>
    </row>
    <row r="18" spans="1:9" ht="43.2" x14ac:dyDescent="0.3">
      <c r="B18" s="203"/>
      <c r="C18" s="10" t="str">
        <f>'23-Despesas '!C$4</f>
        <v>Orçamento 2026</v>
      </c>
      <c r="D18" s="10" t="str">
        <f>'23-Despesas '!D$4</f>
        <v>Projeção 2025</v>
      </c>
      <c r="E18" s="11" t="s">
        <v>6</v>
      </c>
      <c r="F18" s="37" t="str">
        <f>'23-Despesas '!F$4</f>
        <v>Orçamento 2025</v>
      </c>
      <c r="G18" s="12" t="s">
        <v>8</v>
      </c>
      <c r="H18" s="10" t="s">
        <v>382</v>
      </c>
      <c r="I18" s="10" t="s">
        <v>197</v>
      </c>
    </row>
    <row r="19" spans="1:9" x14ac:dyDescent="0.3">
      <c r="B19" s="39" t="s">
        <v>57</v>
      </c>
      <c r="C19" s="40">
        <f>SUM(C20:C23)</f>
        <v>434946.23087338242</v>
      </c>
      <c r="D19" s="62">
        <f>SUM(D20:D23)</f>
        <v>407445.8017477722</v>
      </c>
      <c r="E19" s="16">
        <f t="shared" si="0"/>
        <v>6.7494692564372682E-2</v>
      </c>
      <c r="F19" s="63">
        <f>SUM(F20:F23)</f>
        <v>352034.62</v>
      </c>
      <c r="G19" s="24">
        <f t="shared" si="1"/>
        <v>0.23552118502828612</v>
      </c>
      <c r="H19" s="147">
        <f t="shared" ref="H19:I19" si="4">SUM(H20:H23)</f>
        <v>382525.31000000006</v>
      </c>
      <c r="I19" s="147">
        <f t="shared" si="4"/>
        <v>353990.15</v>
      </c>
    </row>
    <row r="20" spans="1:9" x14ac:dyDescent="0.3">
      <c r="A20" t="s">
        <v>58</v>
      </c>
      <c r="B20" s="19" t="str">
        <f>A20</f>
        <v>Salários e provisões</v>
      </c>
      <c r="C20" s="20">
        <v>282341.6651319518</v>
      </c>
      <c r="D20" s="21">
        <v>263801.2069437115</v>
      </c>
      <c r="E20" s="16">
        <f t="shared" si="0"/>
        <v>7.0281930863934194E-2</v>
      </c>
      <c r="F20" s="64">
        <v>221558.27999999997</v>
      </c>
      <c r="G20" s="22">
        <f t="shared" si="1"/>
        <v>0.27434490433827086</v>
      </c>
      <c r="H20" s="118">
        <v>240627.09000000005</v>
      </c>
      <c r="I20" s="118">
        <v>225428.13999999998</v>
      </c>
    </row>
    <row r="21" spans="1:9" x14ac:dyDescent="0.3">
      <c r="A21" t="s">
        <v>59</v>
      </c>
      <c r="B21" s="19" t="str">
        <f>A21</f>
        <v>Encargos sociais</v>
      </c>
      <c r="C21" s="20">
        <v>100231.29112184278</v>
      </c>
      <c r="D21" s="21">
        <v>91184.280439483686</v>
      </c>
      <c r="E21" s="16">
        <f t="shared" si="0"/>
        <v>9.9216779896216023E-2</v>
      </c>
      <c r="F21" s="64">
        <v>77636.02</v>
      </c>
      <c r="G21" s="22">
        <f t="shared" si="1"/>
        <v>0.29104108018214703</v>
      </c>
      <c r="H21" s="118">
        <v>84662.030000000013</v>
      </c>
      <c r="I21" s="118">
        <v>78012.47</v>
      </c>
    </row>
    <row r="22" spans="1:9" x14ac:dyDescent="0.3">
      <c r="A22" t="s">
        <v>60</v>
      </c>
      <c r="B22" s="19" t="str">
        <f>A22</f>
        <v>Benefícios</v>
      </c>
      <c r="C22" s="20">
        <v>52373.274619587828</v>
      </c>
      <c r="D22" s="21">
        <v>48816.662413684913</v>
      </c>
      <c r="E22" s="16">
        <f t="shared" si="0"/>
        <v>7.285652131977538E-2</v>
      </c>
      <c r="F22" s="44">
        <v>42287.999999999985</v>
      </c>
      <c r="G22" s="22">
        <f t="shared" si="1"/>
        <v>0.23849022464027247</v>
      </c>
      <c r="H22" s="118">
        <v>45032.049999999996</v>
      </c>
      <c r="I22" s="118">
        <v>46164.95</v>
      </c>
    </row>
    <row r="23" spans="1:9" x14ac:dyDescent="0.3">
      <c r="A23" t="s">
        <v>61</v>
      </c>
      <c r="B23" s="19" t="str">
        <f>A23</f>
        <v>Outros</v>
      </c>
      <c r="C23" s="20">
        <v>0</v>
      </c>
      <c r="D23" s="21">
        <v>3643.6519508921015</v>
      </c>
      <c r="E23" s="16">
        <f t="shared" si="0"/>
        <v>-1</v>
      </c>
      <c r="F23" s="44">
        <v>10552.32</v>
      </c>
      <c r="G23" s="22">
        <f t="shared" si="1"/>
        <v>-1</v>
      </c>
      <c r="H23" s="118">
        <v>12204.14</v>
      </c>
      <c r="I23" s="118">
        <v>4384.59</v>
      </c>
    </row>
    <row r="24" spans="1:9" x14ac:dyDescent="0.3">
      <c r="B24" s="39" t="s">
        <v>62</v>
      </c>
      <c r="C24" s="53">
        <f>SUM(C25)</f>
        <v>17340</v>
      </c>
      <c r="D24" s="65">
        <f>SUM(D25)</f>
        <v>23454.27356431563</v>
      </c>
      <c r="E24" s="123">
        <f t="shared" si="0"/>
        <v>-0.26068910416471636</v>
      </c>
      <c r="F24" s="66">
        <f>SUM(F25)</f>
        <v>16556.980000000003</v>
      </c>
      <c r="G24" s="125">
        <f t="shared" si="1"/>
        <v>4.7292441012793285E-2</v>
      </c>
      <c r="H24" s="151">
        <f t="shared" ref="H24:I24" si="5">SUM(H25)</f>
        <v>15669.91</v>
      </c>
      <c r="I24" s="151">
        <f t="shared" si="5"/>
        <v>12310.92</v>
      </c>
    </row>
    <row r="25" spans="1:9" s="38" customFormat="1" x14ac:dyDescent="0.3">
      <c r="A25" s="38" t="s">
        <v>63</v>
      </c>
      <c r="B25" s="19" t="str">
        <f>A25</f>
        <v>Serviços contratados</v>
      </c>
      <c r="C25" s="57">
        <v>17340</v>
      </c>
      <c r="D25" s="67">
        <v>23454.27356431563</v>
      </c>
      <c r="E25" s="124">
        <f t="shared" si="0"/>
        <v>-0.26068910416471636</v>
      </c>
      <c r="F25" s="59">
        <v>16556.980000000003</v>
      </c>
      <c r="G25" s="126">
        <f t="shared" si="1"/>
        <v>4.7292441012793285E-2</v>
      </c>
      <c r="H25" s="152">
        <v>15669.91</v>
      </c>
      <c r="I25" s="152">
        <v>12310.92</v>
      </c>
    </row>
    <row r="26" spans="1:9" x14ac:dyDescent="0.3">
      <c r="B26" s="39" t="s">
        <v>64</v>
      </c>
      <c r="C26" s="40">
        <f>SUM(C27:C29)</f>
        <v>29292</v>
      </c>
      <c r="D26" s="62">
        <f>SUM(D27:D29)</f>
        <v>22207.626216670651</v>
      </c>
      <c r="E26" s="16">
        <f t="shared" si="0"/>
        <v>0.31900635008037481</v>
      </c>
      <c r="F26" s="63">
        <f>SUM(F27:F29)</f>
        <v>24747.550000000003</v>
      </c>
      <c r="G26" s="22">
        <f t="shared" si="1"/>
        <v>0.18363231915886602</v>
      </c>
      <c r="H26" s="147">
        <f t="shared" ref="H26:I26" si="6">SUM(H27:H29)</f>
        <v>15593.97</v>
      </c>
      <c r="I26" s="147">
        <f t="shared" si="6"/>
        <v>3315.2599999999998</v>
      </c>
    </row>
    <row r="27" spans="1:9" x14ac:dyDescent="0.3">
      <c r="A27" s="78" t="s">
        <v>66</v>
      </c>
      <c r="B27" s="19" t="str">
        <f>A27</f>
        <v>Mercadoria de revenda e consumo</v>
      </c>
      <c r="C27" s="20">
        <v>20580</v>
      </c>
      <c r="D27" s="21">
        <v>16555.150906520677</v>
      </c>
      <c r="E27" s="16">
        <f t="shared" si="0"/>
        <v>0.24311763246410711</v>
      </c>
      <c r="F27" s="44">
        <v>16560.25</v>
      </c>
      <c r="G27" s="22">
        <f t="shared" si="1"/>
        <v>0.24273486209447315</v>
      </c>
      <c r="H27" s="118">
        <v>12016.44</v>
      </c>
      <c r="I27" s="118">
        <v>670.33</v>
      </c>
    </row>
    <row r="28" spans="1:9" x14ac:dyDescent="0.3">
      <c r="A28" s="78" t="s">
        <v>65</v>
      </c>
      <c r="B28" s="19" t="str">
        <f>A28</f>
        <v>Material de consumo geral</v>
      </c>
      <c r="C28" s="20">
        <v>8712</v>
      </c>
      <c r="D28" s="21">
        <v>5652.4753101499718</v>
      </c>
      <c r="E28" s="16">
        <f t="shared" si="0"/>
        <v>0.5412716592244351</v>
      </c>
      <c r="F28" s="44">
        <v>8187.3000000000011</v>
      </c>
      <c r="G28" s="22">
        <f t="shared" si="1"/>
        <v>6.4087061668681944E-2</v>
      </c>
      <c r="H28" s="118">
        <v>3508.8999999999996</v>
      </c>
      <c r="I28" s="118">
        <v>2644.93</v>
      </c>
    </row>
    <row r="29" spans="1:9" x14ac:dyDescent="0.3">
      <c r="A29" s="78" t="s">
        <v>67</v>
      </c>
      <c r="B29" s="19" t="str">
        <f>A29</f>
        <v>Mercadoria de uso geral</v>
      </c>
      <c r="C29" s="20">
        <v>0</v>
      </c>
      <c r="D29" s="21">
        <v>0</v>
      </c>
      <c r="E29" s="16">
        <f t="shared" si="0"/>
        <v>0</v>
      </c>
      <c r="F29" s="44">
        <v>0</v>
      </c>
      <c r="G29" s="22">
        <f t="shared" si="1"/>
        <v>0</v>
      </c>
      <c r="H29" s="118">
        <v>68.63</v>
      </c>
      <c r="I29" s="118">
        <v>0</v>
      </c>
    </row>
    <row r="30" spans="1:9" hidden="1" x14ac:dyDescent="0.3">
      <c r="B30" s="39" t="s">
        <v>68</v>
      </c>
      <c r="C30" s="53">
        <f>SUM(C31)</f>
        <v>0</v>
      </c>
      <c r="D30" s="65">
        <f>SUM(D31)</f>
        <v>0</v>
      </c>
      <c r="E30" s="16">
        <f t="shared" si="0"/>
        <v>0</v>
      </c>
      <c r="F30" s="66">
        <f>SUM(F31)</f>
        <v>0</v>
      </c>
      <c r="G30" s="22">
        <f t="shared" si="1"/>
        <v>0</v>
      </c>
      <c r="H30" s="151">
        <f t="shared" ref="H30:I30" si="7">SUM(H31)</f>
        <v>0</v>
      </c>
      <c r="I30" s="151">
        <f t="shared" si="7"/>
        <v>0</v>
      </c>
    </row>
    <row r="31" spans="1:9" hidden="1" x14ac:dyDescent="0.3">
      <c r="B31" s="19" t="s">
        <v>68</v>
      </c>
      <c r="C31" s="20">
        <v>0</v>
      </c>
      <c r="D31" s="21">
        <v>0</v>
      </c>
      <c r="E31" s="16">
        <f t="shared" si="0"/>
        <v>0</v>
      </c>
      <c r="F31" s="44">
        <v>0</v>
      </c>
      <c r="G31" s="22">
        <f t="shared" si="1"/>
        <v>0</v>
      </c>
      <c r="H31" s="118">
        <v>0</v>
      </c>
      <c r="I31" s="118">
        <v>0</v>
      </c>
    </row>
    <row r="32" spans="1:9" s="45" customFormat="1" x14ac:dyDescent="0.3">
      <c r="B32" s="39" t="s">
        <v>71</v>
      </c>
      <c r="C32" s="53">
        <f>SUM(C33:C34)</f>
        <v>42660</v>
      </c>
      <c r="D32" s="65">
        <f>SUM(D33:D34)</f>
        <v>26365.125875801896</v>
      </c>
      <c r="E32" s="123">
        <f t="shared" si="0"/>
        <v>0.61804651344955874</v>
      </c>
      <c r="F32" s="66">
        <f>SUM(F33:F34)</f>
        <v>40320</v>
      </c>
      <c r="G32" s="125">
        <f t="shared" si="1"/>
        <v>5.8035714285714191E-2</v>
      </c>
      <c r="H32" s="151">
        <f t="shared" ref="H32:I32" si="8">SUM(H33:H34)</f>
        <v>4217.4199999999992</v>
      </c>
      <c r="I32" s="151">
        <f t="shared" si="8"/>
        <v>12671.33</v>
      </c>
    </row>
    <row r="33" spans="1:9" s="38" customFormat="1" x14ac:dyDescent="0.3">
      <c r="A33" s="38" t="s">
        <v>73</v>
      </c>
      <c r="B33" s="19" t="str">
        <f>A33</f>
        <v>Outros gastos gerais</v>
      </c>
      <c r="C33" s="20">
        <v>39960</v>
      </c>
      <c r="D33" s="21">
        <v>22580.630508564278</v>
      </c>
      <c r="E33" s="127">
        <f t="shared" si="0"/>
        <v>0.76965829119980311</v>
      </c>
      <c r="F33" s="64">
        <v>37800</v>
      </c>
      <c r="G33" s="128">
        <f t="shared" si="1"/>
        <v>5.7142857142857162E-2</v>
      </c>
      <c r="H33" s="118">
        <v>999.99</v>
      </c>
      <c r="I33" s="118">
        <v>12506.57</v>
      </c>
    </row>
    <row r="34" spans="1:9" s="38" customFormat="1" x14ac:dyDescent="0.3">
      <c r="A34" s="38" t="s">
        <v>72</v>
      </c>
      <c r="B34" s="19" t="str">
        <f>A34</f>
        <v>Locomoções gerais - viagens - estadias</v>
      </c>
      <c r="C34" s="20">
        <v>2700</v>
      </c>
      <c r="D34" s="21">
        <v>3784.4953672376187</v>
      </c>
      <c r="E34" s="124">
        <f t="shared" si="0"/>
        <v>-0.28656274139640825</v>
      </c>
      <c r="F34" s="64">
        <v>2520</v>
      </c>
      <c r="G34" s="126">
        <f t="shared" si="1"/>
        <v>7.1428571428571397E-2</v>
      </c>
      <c r="H34" s="118">
        <v>3217.4299999999994</v>
      </c>
      <c r="I34" s="118">
        <v>164.76</v>
      </c>
    </row>
    <row r="35" spans="1:9" s="45" customFormat="1" hidden="1" x14ac:dyDescent="0.3">
      <c r="B35" s="39" t="s">
        <v>69</v>
      </c>
      <c r="C35" s="53">
        <f>SUM(C36)</f>
        <v>0</v>
      </c>
      <c r="D35" s="65">
        <f>SUM(D36)</f>
        <v>0</v>
      </c>
      <c r="E35" s="16">
        <f t="shared" si="0"/>
        <v>0</v>
      </c>
      <c r="F35" s="66">
        <f>SUM(F36)</f>
        <v>0</v>
      </c>
      <c r="G35" s="22">
        <f t="shared" si="1"/>
        <v>0</v>
      </c>
      <c r="H35" s="151">
        <f t="shared" ref="H35:I35" si="9">SUM(H36)</f>
        <v>0</v>
      </c>
      <c r="I35" s="151">
        <f t="shared" si="9"/>
        <v>0</v>
      </c>
    </row>
    <row r="36" spans="1:9" hidden="1" x14ac:dyDescent="0.3">
      <c r="B36" s="19" t="s">
        <v>70</v>
      </c>
      <c r="C36" s="68">
        <v>0</v>
      </c>
      <c r="D36" s="69">
        <v>0</v>
      </c>
      <c r="E36" s="16">
        <f t="shared" si="0"/>
        <v>0</v>
      </c>
      <c r="F36" s="64">
        <v>0</v>
      </c>
      <c r="G36" s="22">
        <f t="shared" si="1"/>
        <v>0</v>
      </c>
      <c r="H36" s="160">
        <v>0</v>
      </c>
      <c r="I36" s="160">
        <v>0</v>
      </c>
    </row>
    <row r="37" spans="1:9" x14ac:dyDescent="0.3">
      <c r="B37" s="46" t="s">
        <v>51</v>
      </c>
      <c r="C37" s="51">
        <f>SUM(C35+C32+C30+C26+C24+C19)</f>
        <v>524238.23087338242</v>
      </c>
      <c r="D37" s="28">
        <f>SUM(D35+D32+D30+D26+D24+D19)</f>
        <v>479472.8274045604</v>
      </c>
      <c r="E37" s="121">
        <f t="shared" si="0"/>
        <v>9.3363796466094051E-2</v>
      </c>
      <c r="F37" s="28">
        <f>SUM(F35+F32+F30+F26+F24+F19)</f>
        <v>433659.15</v>
      </c>
      <c r="G37" s="122">
        <f t="shared" si="1"/>
        <v>0.20887160082609202</v>
      </c>
      <c r="H37" s="150">
        <f t="shared" ref="H37:I37" si="10">SUM(H35+H32+H30+H26+H24+H19)</f>
        <v>418006.61000000004</v>
      </c>
      <c r="I37" s="142">
        <f t="shared" si="10"/>
        <v>382287.66000000003</v>
      </c>
    </row>
    <row r="38" spans="1:9" x14ac:dyDescent="0.3">
      <c r="C38"/>
      <c r="D38"/>
      <c r="E38"/>
      <c r="F38" s="33"/>
      <c r="G38" s="33"/>
      <c r="H38" s="33"/>
      <c r="I38" s="33"/>
    </row>
    <row r="39" spans="1:9" x14ac:dyDescent="0.3">
      <c r="C39"/>
      <c r="D39"/>
      <c r="E39"/>
      <c r="F39"/>
      <c r="G39"/>
      <c r="H39"/>
      <c r="I39"/>
    </row>
  </sheetData>
  <mergeCells count="3">
    <mergeCell ref="B3:B4"/>
    <mergeCell ref="B12:B13"/>
    <mergeCell ref="B17:B18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H24:I24 C24:D24 F24 C26:D26 F26 H26:I26 C30:D32 F30:F32 H30:I32 C35:D37 F35:F37 H35:I3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6"/>
  <sheetViews>
    <sheetView showGridLines="0" showRowColHeaders="0" topLeftCell="B1" workbookViewId="0">
      <selection activeCell="F1" sqref="F1"/>
    </sheetView>
  </sheetViews>
  <sheetFormatPr defaultRowHeight="14.4" x14ac:dyDescent="0.3"/>
  <cols>
    <col min="1" max="1" width="22.664062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75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Central de Atendimento</v>
      </c>
      <c r="B5" s="19" t="str">
        <f>'30-ADM_CENTRAL'!B5</f>
        <v>Central de Atendimento</v>
      </c>
      <c r="C5" s="20">
        <f>'30-ADM_CENTRAL'!C5</f>
        <v>3233516.4559350433</v>
      </c>
      <c r="D5" s="21">
        <f>'30-ADM_CENTRAL'!D5</f>
        <v>2870553.6648320407</v>
      </c>
      <c r="E5" s="16">
        <f>IFERROR(C5/D5-1,0)</f>
        <v>0.12644347867443195</v>
      </c>
      <c r="F5" s="70">
        <f>'30-ADM_CENTRAL'!F5</f>
        <v>2980063.2399999951</v>
      </c>
      <c r="G5" s="17">
        <f>IFERROR(C5/F5-1,0)</f>
        <v>8.504960986500687E-2</v>
      </c>
      <c r="H5" s="118">
        <f>'30-ADM_CENTRAL'!H5</f>
        <v>2637586.429999996</v>
      </c>
      <c r="I5" s="118">
        <f>'30-ADM_CENTRAL'!I5</f>
        <v>2994233.25</v>
      </c>
    </row>
    <row r="6" spans="1:9" s="38" customFormat="1" x14ac:dyDescent="0.3">
      <c r="A6" s="38" t="str">
        <f>B6</f>
        <v>Ética Disciplinar</v>
      </c>
      <c r="B6" s="19" t="str">
        <f>'30-ADM_CENTRAL'!B6</f>
        <v>Ética Disciplinar</v>
      </c>
      <c r="C6" s="20">
        <f>'30-ADM_CENTRAL'!C6</f>
        <v>524238.23087338207</v>
      </c>
      <c r="D6" s="21">
        <f>'30-ADM_CENTRAL'!D6</f>
        <v>479472.82740456046</v>
      </c>
      <c r="E6" s="16">
        <f t="shared" ref="E6:E45" si="0">IFERROR(C6/D6-1,0)</f>
        <v>9.3363796466093163E-2</v>
      </c>
      <c r="F6" s="70">
        <f>'30-ADM_CENTRAL'!F6</f>
        <v>433659.15000000078</v>
      </c>
      <c r="G6" s="22">
        <f t="shared" ref="G6:G19" si="1">IFERROR(C6/F6-1,0)</f>
        <v>0.20887160082608913</v>
      </c>
      <c r="H6" s="118">
        <f>'30-ADM_CENTRAL'!H6</f>
        <v>418006.61</v>
      </c>
      <c r="I6" s="118">
        <f>'30-ADM_CENTRAL'!I6</f>
        <v>382287.66000000003</v>
      </c>
    </row>
    <row r="7" spans="1:9" s="38" customFormat="1" x14ac:dyDescent="0.3">
      <c r="A7" s="38" t="str">
        <f>B7</f>
        <v>Médica</v>
      </c>
      <c r="B7" s="61" t="str">
        <f>'30-ADM_CENTRAL'!B7</f>
        <v>Médica</v>
      </c>
      <c r="C7" s="40">
        <f>'30-ADM_CENTRAL'!C7</f>
        <v>14296105</v>
      </c>
      <c r="D7" s="62">
        <f>'30-ADM_CENTRAL'!D7</f>
        <v>12700189.863069788</v>
      </c>
      <c r="E7" s="129">
        <f t="shared" si="0"/>
        <v>0.12566073059827954</v>
      </c>
      <c r="F7" s="42">
        <f>'30-ADM_CENTRAL'!F7</f>
        <v>11525889.839999985</v>
      </c>
      <c r="G7" s="130">
        <f t="shared" si="1"/>
        <v>0.2403471834674431</v>
      </c>
      <c r="H7" s="147">
        <f>'30-ADM_CENTRAL'!H7</f>
        <v>10533164.439999999</v>
      </c>
      <c r="I7" s="147">
        <f>'30-ADM_CENTRAL'!I7</f>
        <v>9923200.0199999996</v>
      </c>
    </row>
    <row r="8" spans="1:9" s="38" customFormat="1" x14ac:dyDescent="0.3">
      <c r="A8" s="38" t="str">
        <f>B8</f>
        <v>Recursos Humanos</v>
      </c>
      <c r="B8" s="19" t="str">
        <f>'30-ADM_CENTRAL'!B8</f>
        <v>Recursos Humanos</v>
      </c>
      <c r="C8" s="20">
        <f>'30-ADM_CENTRAL'!C8</f>
        <v>7228974.1997492295</v>
      </c>
      <c r="D8" s="21">
        <f>'30-ADM_CENTRAL'!D8</f>
        <v>6431517.9764331402</v>
      </c>
      <c r="E8" s="16">
        <f t="shared" si="0"/>
        <v>0.12399191392112852</v>
      </c>
      <c r="F8" s="70">
        <f>'30-ADM_CENTRAL'!F8</f>
        <v>7042665.8700000169</v>
      </c>
      <c r="G8" s="22">
        <f>IFERROR(C8/F8-1,0)</f>
        <v>2.6454233835349061E-2</v>
      </c>
      <c r="H8" s="118">
        <f>'30-ADM_CENTRAL'!H8</f>
        <v>6045258.7000000048</v>
      </c>
      <c r="I8" s="118">
        <f>'30-ADM_CENTRAL'!I8</f>
        <v>5423169.2599999998</v>
      </c>
    </row>
    <row r="9" spans="1:9" s="38" customFormat="1" x14ac:dyDescent="0.3">
      <c r="A9" s="38" t="str">
        <f>B9</f>
        <v>Segurança</v>
      </c>
      <c r="B9" s="19" t="str">
        <f>'30-ADM_CENTRAL'!B9</f>
        <v>Segurança</v>
      </c>
      <c r="C9" s="20">
        <f>'30-ADM_CENTRAL'!C9</f>
        <v>22487705</v>
      </c>
      <c r="D9" s="21">
        <f>'30-ADM_CENTRAL'!D9</f>
        <v>20356908.692255907</v>
      </c>
      <c r="E9" s="16">
        <f t="shared" si="0"/>
        <v>0.10467189984276359</v>
      </c>
      <c r="F9" s="70">
        <f>'30-ADM_CENTRAL'!F9</f>
        <v>20663024.989999965</v>
      </c>
      <c r="G9" s="22">
        <f>IFERROR(C9/F9-1,0)</f>
        <v>8.8306528733479439E-2</v>
      </c>
      <c r="H9" s="118">
        <f>'30-ADM_CENTRAL'!H9</f>
        <v>19464264.200000044</v>
      </c>
      <c r="I9" s="118">
        <f>'30-ADM_CENTRAL'!I9</f>
        <v>19187698.720000006</v>
      </c>
    </row>
    <row r="10" spans="1:9" x14ac:dyDescent="0.3">
      <c r="B10" s="46" t="s">
        <v>51</v>
      </c>
      <c r="C10" s="51">
        <f>SUM(C5:C9)</f>
        <v>47770538.886557654</v>
      </c>
      <c r="D10" s="28">
        <f>SUM(D5:D9)</f>
        <v>42838643.023995437</v>
      </c>
      <c r="E10" s="121">
        <f t="shared" si="0"/>
        <v>0.11512726628151326</v>
      </c>
      <c r="F10" s="49">
        <f>SUM(F5:F9)</f>
        <v>42645303.089999959</v>
      </c>
      <c r="G10" s="122">
        <f>IFERROR(C10/F10-1,0)</f>
        <v>0.12018289061614218</v>
      </c>
      <c r="H10" s="150">
        <f t="shared" ref="H10:I10" si="2">SUM(H5:H9)</f>
        <v>39098280.38000004</v>
      </c>
      <c r="I10" s="142">
        <f t="shared" si="2"/>
        <v>37910588.910000004</v>
      </c>
    </row>
    <row r="11" spans="1:9" x14ac:dyDescent="0.3">
      <c r="B11" s="38"/>
      <c r="C11" s="50"/>
      <c r="D11" s="50"/>
      <c r="E11" s="50"/>
      <c r="F11" s="50"/>
      <c r="G11" s="50"/>
      <c r="H11" s="50"/>
      <c r="I11" s="50"/>
    </row>
    <row r="12" spans="1:9" x14ac:dyDescent="0.3">
      <c r="B12" s="202" t="s">
        <v>52</v>
      </c>
      <c r="C12" s="8"/>
      <c r="D12" s="8"/>
      <c r="E12" s="36"/>
      <c r="F12" s="36"/>
      <c r="G12" s="36"/>
      <c r="H12" s="8"/>
      <c r="I12" s="8"/>
    </row>
    <row r="13" spans="1:9" ht="43.2" x14ac:dyDescent="0.3">
      <c r="B13" s="203"/>
      <c r="C13" s="10" t="str">
        <f>'23-Despesas '!C$4</f>
        <v>Orçamento 2026</v>
      </c>
      <c r="D13" s="10" t="str">
        <f>'23-Despesas '!D$4</f>
        <v>Projeção 2025</v>
      </c>
      <c r="E13" s="11" t="s">
        <v>6</v>
      </c>
      <c r="F13" s="37" t="str">
        <f>'23-Despesas '!F$4</f>
        <v>Orçamento 2025</v>
      </c>
      <c r="G13" s="12" t="s">
        <v>8</v>
      </c>
      <c r="H13" s="10" t="s">
        <v>382</v>
      </c>
      <c r="I13" s="10" t="s">
        <v>197</v>
      </c>
    </row>
    <row r="14" spans="1:9" x14ac:dyDescent="0.3">
      <c r="A14" t="s">
        <v>76</v>
      </c>
      <c r="B14" s="19" t="str">
        <f>A14</f>
        <v>Emergência Médica</v>
      </c>
      <c r="C14" s="20">
        <v>6007185</v>
      </c>
      <c r="D14" s="21">
        <v>4024130.1006667726</v>
      </c>
      <c r="E14" s="16">
        <f t="shared" si="0"/>
        <v>0.49279095101936399</v>
      </c>
      <c r="F14" s="44">
        <v>3358806.4700000025</v>
      </c>
      <c r="G14" s="24">
        <f t="shared" si="1"/>
        <v>0.78848798037476553</v>
      </c>
      <c r="H14" s="118">
        <v>3171039.8100000015</v>
      </c>
      <c r="I14" s="118">
        <v>2770960.2299999995</v>
      </c>
    </row>
    <row r="15" spans="1:9" x14ac:dyDescent="0.3">
      <c r="A15" t="s">
        <v>77</v>
      </c>
      <c r="B15" s="19" t="str">
        <f>A15</f>
        <v>Medicina Esportiva</v>
      </c>
      <c r="C15" s="20">
        <v>3166347.4568508514</v>
      </c>
      <c r="D15" s="118">
        <v>3744456.8757996405</v>
      </c>
      <c r="E15" s="141">
        <f t="shared" si="0"/>
        <v>-0.15439072691292033</v>
      </c>
      <c r="F15" s="119">
        <v>3337797.0999999992</v>
      </c>
      <c r="G15" s="22">
        <f t="shared" si="1"/>
        <v>-5.1366107049810705E-2</v>
      </c>
      <c r="H15" s="118">
        <v>2884119.9699999983</v>
      </c>
      <c r="I15" s="118">
        <v>3072000.1999999997</v>
      </c>
    </row>
    <row r="16" spans="1:9" x14ac:dyDescent="0.3">
      <c r="A16" t="s">
        <v>78</v>
      </c>
      <c r="B16" s="19" t="str">
        <f>A16</f>
        <v>Sauna e Massagem</v>
      </c>
      <c r="C16" s="20">
        <v>2230671.7943997839</v>
      </c>
      <c r="D16" s="118">
        <v>2180261.861435507</v>
      </c>
      <c r="E16" s="141">
        <f t="shared" si="0"/>
        <v>2.3121045162477261E-2</v>
      </c>
      <c r="F16" s="119">
        <v>2132253.8499999987</v>
      </c>
      <c r="G16" s="24">
        <f t="shared" si="1"/>
        <v>4.6156767122162989E-2</v>
      </c>
      <c r="H16" s="118">
        <v>1977646.9699999997</v>
      </c>
      <c r="I16" s="118">
        <v>1753936.62</v>
      </c>
    </row>
    <row r="17" spans="1:9" x14ac:dyDescent="0.3">
      <c r="A17" t="s">
        <v>79</v>
      </c>
      <c r="B17" s="19" t="str">
        <f>A17</f>
        <v>Fisioterapia e RPG</v>
      </c>
      <c r="C17" s="20">
        <v>2013817.3106168327</v>
      </c>
      <c r="D17" s="21">
        <v>1991026.730216061</v>
      </c>
      <c r="E17" s="16">
        <f t="shared" si="0"/>
        <v>1.1446647126780896E-2</v>
      </c>
      <c r="F17" s="44">
        <v>1957639.2100000004</v>
      </c>
      <c r="G17" s="22">
        <f t="shared" si="1"/>
        <v>2.8696861163110876E-2</v>
      </c>
      <c r="H17" s="118">
        <v>1803582.0000000002</v>
      </c>
      <c r="I17" s="118">
        <v>1646718.2099999997</v>
      </c>
    </row>
    <row r="18" spans="1:9" x14ac:dyDescent="0.3">
      <c r="A18" t="s">
        <v>80</v>
      </c>
      <c r="B18" s="19" t="str">
        <f>A18</f>
        <v>Administração do Departamento Médico</v>
      </c>
      <c r="C18" s="20">
        <v>878083.01368449593</v>
      </c>
      <c r="D18" s="21">
        <v>760314.29495179316</v>
      </c>
      <c r="E18" s="16">
        <f t="shared" si="0"/>
        <v>0.15489478432096271</v>
      </c>
      <c r="F18" s="44">
        <v>739393.21</v>
      </c>
      <c r="G18" s="24">
        <f t="shared" si="1"/>
        <v>0.18757246051055287</v>
      </c>
      <c r="H18" s="118">
        <v>696775.69000000029</v>
      </c>
      <c r="I18" s="118">
        <v>679584.75999999989</v>
      </c>
    </row>
    <row r="19" spans="1:9" x14ac:dyDescent="0.3">
      <c r="B19" s="46" t="s">
        <v>51</v>
      </c>
      <c r="C19" s="51">
        <f>SUM(C14:C18)</f>
        <v>14296104.575551964</v>
      </c>
      <c r="D19" s="28">
        <f>SUM(D14:D18)</f>
        <v>12700189.863069775</v>
      </c>
      <c r="E19" s="121">
        <f t="shared" si="0"/>
        <v>0.12566069717767503</v>
      </c>
      <c r="F19" s="28">
        <f>SUM(F14:F18)</f>
        <v>11525889.840000004</v>
      </c>
      <c r="G19" s="120">
        <f t="shared" si="1"/>
        <v>0.24034714664182144</v>
      </c>
      <c r="H19" s="150">
        <f t="shared" ref="H19:I19" si="3">SUM(H14:H18)</f>
        <v>10533164.439999999</v>
      </c>
      <c r="I19" s="142">
        <f t="shared" si="3"/>
        <v>9923200.0199999996</v>
      </c>
    </row>
    <row r="20" spans="1:9" x14ac:dyDescent="0.3">
      <c r="B20" s="38"/>
      <c r="C20" s="50"/>
      <c r="D20" s="50"/>
      <c r="E20" s="50"/>
      <c r="F20" s="50"/>
      <c r="G20" s="50"/>
      <c r="H20" s="50"/>
      <c r="I20" s="50"/>
    </row>
    <row r="21" spans="1:9" x14ac:dyDescent="0.3">
      <c r="B21" s="202" t="s">
        <v>56</v>
      </c>
      <c r="C21" s="8"/>
      <c r="D21" s="8"/>
      <c r="E21" s="36"/>
      <c r="F21" s="36"/>
      <c r="G21" s="36"/>
      <c r="H21" s="8"/>
      <c r="I21" s="8"/>
    </row>
    <row r="22" spans="1:9" ht="43.2" x14ac:dyDescent="0.3">
      <c r="B22" s="203"/>
      <c r="C22" s="10" t="str">
        <f>'23-Despesas '!C$4</f>
        <v>Orçamento 2026</v>
      </c>
      <c r="D22" s="10" t="str">
        <f>'23-Despesas '!D$4</f>
        <v>Projeção 2025</v>
      </c>
      <c r="E22" s="11" t="s">
        <v>6</v>
      </c>
      <c r="F22" s="37" t="str">
        <f>'23-Despesas '!F$4</f>
        <v>Orçamento 2025</v>
      </c>
      <c r="G22" s="12" t="s">
        <v>8</v>
      </c>
      <c r="H22" s="10" t="s">
        <v>382</v>
      </c>
      <c r="I22" s="10" t="s">
        <v>197</v>
      </c>
    </row>
    <row r="23" spans="1:9" x14ac:dyDescent="0.3">
      <c r="B23" s="39" t="s">
        <v>57</v>
      </c>
      <c r="C23" s="53">
        <f>SUM(C24:C27)</f>
        <v>6272363.680404827</v>
      </c>
      <c r="D23" s="65">
        <f>SUM(D24:D27)</f>
        <v>7076405.5458780024</v>
      </c>
      <c r="E23" s="16">
        <f t="shared" si="0"/>
        <v>-0.11362292060006773</v>
      </c>
      <c r="F23" s="55">
        <f>SUM(F24:F27)</f>
        <v>7319407.6999999983</v>
      </c>
      <c r="G23" s="22">
        <f t="shared" ref="G23:G45" si="4">IFERROR(C23/F23-1,0)</f>
        <v>-0.14305037545526689</v>
      </c>
      <c r="H23" s="151">
        <f t="shared" ref="H23:I23" si="5">SUM(H24:H27)</f>
        <v>6746263.4800000023</v>
      </c>
      <c r="I23" s="151">
        <f t="shared" si="5"/>
        <v>6513440.21</v>
      </c>
    </row>
    <row r="24" spans="1:9" x14ac:dyDescent="0.3">
      <c r="A24" t="s">
        <v>58</v>
      </c>
      <c r="B24" s="19" t="str">
        <f>A24</f>
        <v>Salários e provisões</v>
      </c>
      <c r="C24" s="20">
        <v>3875313.2088239226</v>
      </c>
      <c r="D24" s="21">
        <v>4388599.7446936555</v>
      </c>
      <c r="E24" s="16">
        <f t="shared" si="0"/>
        <v>-0.11695906797842703</v>
      </c>
      <c r="F24" s="44">
        <v>4577260.83</v>
      </c>
      <c r="G24" s="22">
        <f t="shared" si="4"/>
        <v>-0.15335539031890333</v>
      </c>
      <c r="H24" s="118">
        <v>4202231.7700000014</v>
      </c>
      <c r="I24" s="118">
        <v>4193098.5</v>
      </c>
    </row>
    <row r="25" spans="1:9" x14ac:dyDescent="0.3">
      <c r="A25" t="s">
        <v>59</v>
      </c>
      <c r="B25" s="19" t="str">
        <f>A25</f>
        <v>Encargos sociais</v>
      </c>
      <c r="C25" s="20">
        <v>1375736.189132493</v>
      </c>
      <c r="D25" s="21">
        <v>1713119.0299846979</v>
      </c>
      <c r="E25" s="16">
        <f t="shared" si="0"/>
        <v>-0.19694068826917333</v>
      </c>
      <c r="F25" s="44">
        <v>1714778.7899999991</v>
      </c>
      <c r="G25" s="22">
        <f t="shared" si="4"/>
        <v>-0.19771798137735674</v>
      </c>
      <c r="H25" s="118">
        <v>1635580.1800000006</v>
      </c>
      <c r="I25" s="118">
        <v>1536755.4899999998</v>
      </c>
    </row>
    <row r="26" spans="1:9" x14ac:dyDescent="0.3">
      <c r="A26" t="s">
        <v>60</v>
      </c>
      <c r="B26" s="19" t="str">
        <f>A26</f>
        <v>Benefícios</v>
      </c>
      <c r="C26" s="20">
        <v>933399.04244841123</v>
      </c>
      <c r="D26" s="21">
        <v>923114.89755785069</v>
      </c>
      <c r="E26" s="16">
        <f t="shared" si="0"/>
        <v>1.1140698647338354E-2</v>
      </c>
      <c r="F26" s="44">
        <v>982418.47999999963</v>
      </c>
      <c r="G26" s="22">
        <f t="shared" si="4"/>
        <v>-4.9896697333694728E-2</v>
      </c>
      <c r="H26" s="118">
        <v>861456.12000000058</v>
      </c>
      <c r="I26" s="118">
        <v>742867.93</v>
      </c>
    </row>
    <row r="27" spans="1:9" x14ac:dyDescent="0.3">
      <c r="A27" t="s">
        <v>61</v>
      </c>
      <c r="B27" s="19" t="str">
        <f>A27</f>
        <v>Outros</v>
      </c>
      <c r="C27" s="20">
        <v>87915.24</v>
      </c>
      <c r="D27" s="21">
        <v>51571.873641798164</v>
      </c>
      <c r="E27" s="16">
        <f t="shared" si="0"/>
        <v>0.70471293346119834</v>
      </c>
      <c r="F27" s="44">
        <v>44949.600000000006</v>
      </c>
      <c r="G27" s="22">
        <f t="shared" si="4"/>
        <v>0.95586256607400277</v>
      </c>
      <c r="H27" s="118">
        <v>46995.409999999989</v>
      </c>
      <c r="I27" s="118">
        <v>40718.290000000008</v>
      </c>
    </row>
    <row r="28" spans="1:9" x14ac:dyDescent="0.3">
      <c r="B28" s="39" t="s">
        <v>62</v>
      </c>
      <c r="C28" s="53">
        <v>7493637</v>
      </c>
      <c r="D28" s="65">
        <f>SUM(D29:D29)</f>
        <v>5067081.4616300566</v>
      </c>
      <c r="E28" s="123">
        <f t="shared" si="0"/>
        <v>0.47888623002112385</v>
      </c>
      <c r="F28" s="55">
        <f>SUM(F29:F29)</f>
        <v>3646012.02</v>
      </c>
      <c r="G28" s="125">
        <f t="shared" si="4"/>
        <v>1.0552968445781481</v>
      </c>
      <c r="H28" s="151">
        <f t="shared" ref="H28:I28" si="6">SUM(H29:H29)</f>
        <v>3347683.3399999994</v>
      </c>
      <c r="I28" s="151">
        <f t="shared" si="6"/>
        <v>2976825.25</v>
      </c>
    </row>
    <row r="29" spans="1:9" s="38" customFormat="1" x14ac:dyDescent="0.3">
      <c r="A29" s="38" t="s">
        <v>63</v>
      </c>
      <c r="B29" s="19" t="str">
        <f>A29</f>
        <v>Serviços contratados</v>
      </c>
      <c r="C29" s="20">
        <v>7493637</v>
      </c>
      <c r="D29" s="21">
        <v>5067081.4616300566</v>
      </c>
      <c r="E29" s="124">
        <f t="shared" si="0"/>
        <v>0.47888623002112385</v>
      </c>
      <c r="F29" s="44">
        <v>3646012.02</v>
      </c>
      <c r="G29" s="126">
        <f t="shared" si="4"/>
        <v>1.0552968445781481</v>
      </c>
      <c r="H29" s="118">
        <v>3347683.3399999994</v>
      </c>
      <c r="I29" s="118">
        <v>2976825.25</v>
      </c>
    </row>
    <row r="30" spans="1:9" x14ac:dyDescent="0.3">
      <c r="B30" s="39" t="s">
        <v>64</v>
      </c>
      <c r="C30" s="53">
        <f>SUM(C31:C33)</f>
        <v>478283.78000000026</v>
      </c>
      <c r="D30" s="65">
        <f>SUM(D31:D33)</f>
        <v>505766.62361147552</v>
      </c>
      <c r="E30" s="16">
        <f t="shared" si="0"/>
        <v>-5.4338982306169847E-2</v>
      </c>
      <c r="F30" s="55">
        <f>SUM(F31:F33)</f>
        <v>510340.71000000014</v>
      </c>
      <c r="G30" s="22">
        <f t="shared" si="4"/>
        <v>-6.2814761534504826E-2</v>
      </c>
      <c r="H30" s="151">
        <f t="shared" ref="H30:I30" si="7">SUM(H31:H33)</f>
        <v>397367.19000000024</v>
      </c>
      <c r="I30" s="151">
        <f t="shared" si="7"/>
        <v>388119.47000000003</v>
      </c>
    </row>
    <row r="31" spans="1:9" x14ac:dyDescent="0.3">
      <c r="A31" t="s">
        <v>65</v>
      </c>
      <c r="B31" s="19" t="str">
        <f>A31</f>
        <v>Material de consumo geral</v>
      </c>
      <c r="C31" s="20">
        <v>307149.58000000019</v>
      </c>
      <c r="D31" s="21">
        <v>319167.74174105522</v>
      </c>
      <c r="E31" s="16">
        <f t="shared" si="0"/>
        <v>-3.7654688019209348E-2</v>
      </c>
      <c r="F31" s="44">
        <v>329591.00000000012</v>
      </c>
      <c r="G31" s="22">
        <f t="shared" si="4"/>
        <v>-6.8088691742189345E-2</v>
      </c>
      <c r="H31" s="118">
        <v>300906.35000000027</v>
      </c>
      <c r="I31" s="118">
        <v>260976.08000000002</v>
      </c>
    </row>
    <row r="32" spans="1:9" x14ac:dyDescent="0.3">
      <c r="A32" t="s">
        <v>67</v>
      </c>
      <c r="B32" s="19" t="str">
        <f>A32</f>
        <v>Mercadoria de uso geral</v>
      </c>
      <c r="C32" s="20">
        <v>146531.45000000004</v>
      </c>
      <c r="D32" s="21">
        <v>165324.69299964467</v>
      </c>
      <c r="E32" s="16">
        <f t="shared" si="0"/>
        <v>-0.11367474911739306</v>
      </c>
      <c r="F32" s="44">
        <v>158206.26000000004</v>
      </c>
      <c r="G32" s="22">
        <f t="shared" si="4"/>
        <v>-7.3794867535582953E-2</v>
      </c>
      <c r="H32" s="118">
        <v>80113.919999999984</v>
      </c>
      <c r="I32" s="118">
        <v>112235.79999999999</v>
      </c>
    </row>
    <row r="33" spans="1:9" x14ac:dyDescent="0.3">
      <c r="A33" t="s">
        <v>66</v>
      </c>
      <c r="B33" s="56" t="str">
        <f>A33</f>
        <v>Mercadoria de revenda e consumo</v>
      </c>
      <c r="C33" s="20">
        <v>24602.749999999996</v>
      </c>
      <c r="D33" s="67">
        <v>21274.18887077563</v>
      </c>
      <c r="E33" s="16">
        <f t="shared" si="0"/>
        <v>0.15646007231781289</v>
      </c>
      <c r="F33" s="59">
        <v>22543.45</v>
      </c>
      <c r="G33" s="22">
        <f t="shared" si="4"/>
        <v>9.1348041227052423E-2</v>
      </c>
      <c r="H33" s="118">
        <v>16346.920000000002</v>
      </c>
      <c r="I33" s="118">
        <v>14907.59</v>
      </c>
    </row>
    <row r="34" spans="1:9" s="45" customFormat="1" ht="15" hidden="1" customHeight="1" x14ac:dyDescent="0.3">
      <c r="B34" s="61" t="s">
        <v>68</v>
      </c>
      <c r="C34" s="53">
        <f>SUM(C35)</f>
        <v>0</v>
      </c>
      <c r="D34" s="62">
        <f>SUM(D35)</f>
        <v>0</v>
      </c>
      <c r="E34" s="16">
        <f t="shared" si="0"/>
        <v>0</v>
      </c>
      <c r="F34" s="63">
        <f>SUM(F35)</f>
        <v>0</v>
      </c>
      <c r="G34" s="22">
        <f t="shared" si="4"/>
        <v>0</v>
      </c>
      <c r="H34" s="151">
        <f t="shared" ref="H34:I34" si="8">SUM(H35)</f>
        <v>0</v>
      </c>
      <c r="I34" s="151">
        <f t="shared" si="8"/>
        <v>0</v>
      </c>
    </row>
    <row r="35" spans="1:9" ht="15" hidden="1" customHeight="1" x14ac:dyDescent="0.3">
      <c r="B35" s="19" t="s">
        <v>68</v>
      </c>
      <c r="C35" s="20">
        <v>0</v>
      </c>
      <c r="D35" s="21"/>
      <c r="E35" s="16">
        <f t="shared" si="0"/>
        <v>0</v>
      </c>
      <c r="F35" s="44">
        <v>0</v>
      </c>
      <c r="G35" s="22">
        <f t="shared" si="4"/>
        <v>0</v>
      </c>
      <c r="H35" s="118">
        <v>0</v>
      </c>
      <c r="I35" s="118">
        <v>0</v>
      </c>
    </row>
    <row r="36" spans="1:9" hidden="1" x14ac:dyDescent="0.3">
      <c r="B36" s="39" t="s">
        <v>69</v>
      </c>
      <c r="C36" s="53">
        <f>SUM(C37:C38)</f>
        <v>0</v>
      </c>
      <c r="D36" s="65">
        <f>SUM(D37:D38)</f>
        <v>0</v>
      </c>
      <c r="E36" s="16">
        <f t="shared" si="0"/>
        <v>0</v>
      </c>
      <c r="F36" s="55">
        <f>SUM(F37:F38)</f>
        <v>0</v>
      </c>
      <c r="G36" s="22">
        <f t="shared" si="4"/>
        <v>0</v>
      </c>
      <c r="H36" s="151">
        <f t="shared" ref="H36:I36" si="9">SUM(H37:H38)</f>
        <v>0</v>
      </c>
      <c r="I36" s="151">
        <f t="shared" si="9"/>
        <v>0</v>
      </c>
    </row>
    <row r="37" spans="1:9" hidden="1" x14ac:dyDescent="0.3">
      <c r="B37" s="19" t="s">
        <v>81</v>
      </c>
      <c r="C37" s="20">
        <v>0</v>
      </c>
      <c r="D37" s="21">
        <v>0</v>
      </c>
      <c r="E37" s="16">
        <f t="shared" si="0"/>
        <v>0</v>
      </c>
      <c r="F37" s="44">
        <v>0</v>
      </c>
      <c r="G37" s="22">
        <f t="shared" si="4"/>
        <v>0</v>
      </c>
      <c r="H37" s="118">
        <v>0</v>
      </c>
      <c r="I37" s="118">
        <v>0</v>
      </c>
    </row>
    <row r="38" spans="1:9" hidden="1" x14ac:dyDescent="0.3">
      <c r="B38" s="19" t="s">
        <v>70</v>
      </c>
      <c r="C38" s="20">
        <v>0</v>
      </c>
      <c r="D38" s="21">
        <v>0</v>
      </c>
      <c r="E38" s="16">
        <f t="shared" si="0"/>
        <v>0</v>
      </c>
      <c r="F38" s="44">
        <v>0</v>
      </c>
      <c r="G38" s="22">
        <f t="shared" si="4"/>
        <v>0</v>
      </c>
      <c r="H38" s="118">
        <v>0</v>
      </c>
      <c r="I38" s="118">
        <v>0</v>
      </c>
    </row>
    <row r="39" spans="1:9" x14ac:dyDescent="0.3">
      <c r="B39" s="39" t="s">
        <v>71</v>
      </c>
      <c r="C39" s="53">
        <f>SUM(C40:C42)</f>
        <v>3716.75</v>
      </c>
      <c r="D39" s="65">
        <f>SUM(D40:D42)</f>
        <v>4598.5519502415273</v>
      </c>
      <c r="E39" s="123">
        <f t="shared" si="0"/>
        <v>-0.19175643980605961</v>
      </c>
      <c r="F39" s="55">
        <f>SUM(F40:F42)</f>
        <v>4747.6499999999996</v>
      </c>
      <c r="G39" s="125">
        <f t="shared" si="4"/>
        <v>-0.21713900561330335</v>
      </c>
      <c r="H39" s="151">
        <f t="shared" ref="H39:I39" si="10">SUM(H40:H42)</f>
        <v>2155.64</v>
      </c>
      <c r="I39" s="151">
        <f t="shared" si="10"/>
        <v>4188.34</v>
      </c>
    </row>
    <row r="40" spans="1:9" x14ac:dyDescent="0.3">
      <c r="A40" s="78" t="s">
        <v>73</v>
      </c>
      <c r="B40" s="19" t="str">
        <f>A40</f>
        <v>Outros gastos gerais</v>
      </c>
      <c r="C40" s="20">
        <v>2276.75</v>
      </c>
      <c r="D40" s="21">
        <v>2841.3026115645634</v>
      </c>
      <c r="E40" s="127">
        <f t="shared" si="0"/>
        <v>-0.19869499618475783</v>
      </c>
      <c r="F40" s="44">
        <v>3307.65</v>
      </c>
      <c r="G40" s="128">
        <f t="shared" si="4"/>
        <v>-0.31167142835547901</v>
      </c>
      <c r="H40" s="118">
        <v>1426.4099999999999</v>
      </c>
      <c r="I40" s="118">
        <v>3552</v>
      </c>
    </row>
    <row r="41" spans="1:9" x14ac:dyDescent="0.3">
      <c r="A41" s="78" t="s">
        <v>72</v>
      </c>
      <c r="B41" s="19" t="str">
        <f>A41</f>
        <v>Locomoções gerais - viagens - estadias</v>
      </c>
      <c r="C41" s="20">
        <v>1440</v>
      </c>
      <c r="D41" s="21">
        <v>1725.8393386769637</v>
      </c>
      <c r="E41" s="127">
        <f t="shared" si="0"/>
        <v>-0.1656233765630174</v>
      </c>
      <c r="F41" s="44">
        <v>1440</v>
      </c>
      <c r="G41" s="128">
        <f t="shared" si="4"/>
        <v>0</v>
      </c>
      <c r="H41" s="118">
        <v>676.06</v>
      </c>
      <c r="I41" s="118">
        <v>617.76</v>
      </c>
    </row>
    <row r="42" spans="1:9" x14ac:dyDescent="0.3">
      <c r="A42" s="78" t="s">
        <v>82</v>
      </c>
      <c r="B42" s="19" t="str">
        <f>A42</f>
        <v>Despesas financeiras</v>
      </c>
      <c r="C42" s="20">
        <v>0</v>
      </c>
      <c r="D42" s="21">
        <v>31.41</v>
      </c>
      <c r="E42" s="124">
        <f t="shared" si="0"/>
        <v>-1</v>
      </c>
      <c r="F42" s="44">
        <v>0</v>
      </c>
      <c r="G42" s="126">
        <f t="shared" si="4"/>
        <v>0</v>
      </c>
      <c r="H42" s="118">
        <v>53.17</v>
      </c>
      <c r="I42" s="118">
        <v>18.579999999999998</v>
      </c>
    </row>
    <row r="43" spans="1:9" s="45" customFormat="1" x14ac:dyDescent="0.3">
      <c r="B43" s="39" t="s">
        <v>83</v>
      </c>
      <c r="C43" s="53">
        <f>SUM(C44)</f>
        <v>48103.479999999996</v>
      </c>
      <c r="D43" s="65">
        <f>SUM(D44)</f>
        <v>46337.679999999993</v>
      </c>
      <c r="E43" s="16">
        <f t="shared" si="0"/>
        <v>3.8107216416531919E-2</v>
      </c>
      <c r="F43" s="66">
        <f>SUM(F44)</f>
        <v>45381.759999999995</v>
      </c>
      <c r="G43" s="22">
        <f t="shared" si="4"/>
        <v>5.9973874966506413E-2</v>
      </c>
      <c r="H43" s="151">
        <f t="shared" ref="H43:I43" si="11">SUM(H44)</f>
        <v>39694.79</v>
      </c>
      <c r="I43" s="151">
        <f t="shared" si="11"/>
        <v>40626.75</v>
      </c>
    </row>
    <row r="44" spans="1:9" x14ac:dyDescent="0.3">
      <c r="A44" t="s">
        <v>83</v>
      </c>
      <c r="B44" s="73" t="str">
        <f>A44</f>
        <v>Tributários fiscais e taxas</v>
      </c>
      <c r="C44" s="20">
        <v>48103.479999999996</v>
      </c>
      <c r="D44" s="21">
        <v>46337.679999999993</v>
      </c>
      <c r="E44" s="16">
        <f t="shared" si="0"/>
        <v>3.8107216416531919E-2</v>
      </c>
      <c r="F44" s="70">
        <v>45381.759999999995</v>
      </c>
      <c r="G44" s="22">
        <f t="shared" si="4"/>
        <v>5.9973874966506413E-2</v>
      </c>
      <c r="H44" s="118">
        <v>39694.79</v>
      </c>
      <c r="I44" s="118">
        <v>40626.75</v>
      </c>
    </row>
    <row r="45" spans="1:9" x14ac:dyDescent="0.3">
      <c r="B45" s="26" t="s">
        <v>51</v>
      </c>
      <c r="C45" s="51">
        <f>SUM(C43+C39+C36+C34+C30+C28+C23)</f>
        <v>14296104.690404827</v>
      </c>
      <c r="D45" s="28">
        <f>SUM(D43+D39+D36+D34+D30+D28+D23)</f>
        <v>12700189.863069776</v>
      </c>
      <c r="E45" s="121">
        <f t="shared" si="0"/>
        <v>0.12566070622107217</v>
      </c>
      <c r="F45" s="49">
        <f>SUM(F43+F39+F36+F34+F30+F28+F23)</f>
        <v>11525889.84</v>
      </c>
      <c r="G45" s="122">
        <f t="shared" si="4"/>
        <v>0.24034715660659378</v>
      </c>
      <c r="H45" s="150">
        <f t="shared" ref="H45:I45" si="12">SUM(H43+H39+H36+H34+H30+H28+H23)</f>
        <v>10533164.440000001</v>
      </c>
      <c r="I45" s="142">
        <f t="shared" si="12"/>
        <v>9923200.0199999996</v>
      </c>
    </row>
    <row r="46" spans="1:9" x14ac:dyDescent="0.3">
      <c r="B46" s="74"/>
      <c r="C46" s="75"/>
      <c r="D46" s="76"/>
      <c r="E46" s="76"/>
      <c r="F46" s="76"/>
      <c r="G46" s="76"/>
      <c r="H46" s="76"/>
      <c r="I46" s="76"/>
    </row>
  </sheetData>
  <mergeCells count="3">
    <mergeCell ref="B3:B4"/>
    <mergeCell ref="B12:B13"/>
    <mergeCell ref="B21:B22"/>
  </mergeCells>
  <pageMargins left="0.511811024" right="0.511811024" top="0.78740157499999996" bottom="0.78740157499999996" header="0.31496062000000002" footer="0.31496062000000002"/>
  <ignoredErrors>
    <ignoredError sqref="F28 F30 F34:F39 F43 C43:D43 C34:D39 C30:D30 D2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5"/>
  <sheetViews>
    <sheetView showGridLines="0" showRowColHeaders="0" topLeftCell="B19" workbookViewId="0">
      <selection activeCell="C31" sqref="C31"/>
    </sheetView>
  </sheetViews>
  <sheetFormatPr defaultRowHeight="14.4" x14ac:dyDescent="0.3"/>
  <cols>
    <col min="1" max="1" width="12.777343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84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Central de Atendimento</v>
      </c>
      <c r="B5" s="19" t="str">
        <f>'30-ADM_CENTRAL'!B5</f>
        <v>Central de Atendimento</v>
      </c>
      <c r="C5" s="20">
        <f>'30-ADM_CENTRAL'!C5</f>
        <v>3233516.4559350433</v>
      </c>
      <c r="D5" s="21">
        <f>'30-ADM_CENTRAL'!D5</f>
        <v>2870553.6648320407</v>
      </c>
      <c r="E5" s="16">
        <f>IFERROR(C5/D5-1,0)</f>
        <v>0.12644347867443195</v>
      </c>
      <c r="F5" s="44">
        <f>'30-ADM_CENTRAL'!F5</f>
        <v>2980063.2399999951</v>
      </c>
      <c r="G5" s="17">
        <f>IFERROR(C5/F5-1,0)</f>
        <v>8.504960986500687E-2</v>
      </c>
      <c r="H5" s="118">
        <f>'30-ADM_CENTRAL'!H5</f>
        <v>2637586.429999996</v>
      </c>
      <c r="I5" s="118">
        <f>'30-ADM_CENTRAL'!I5</f>
        <v>2994233.25</v>
      </c>
    </row>
    <row r="6" spans="1:9" s="38" customFormat="1" x14ac:dyDescent="0.3">
      <c r="A6" s="38" t="str">
        <f>B6</f>
        <v>Ética Disciplinar</v>
      </c>
      <c r="B6" s="19" t="str">
        <f>'30-ADM_CENTRAL'!B6</f>
        <v>Ética Disciplinar</v>
      </c>
      <c r="C6" s="20">
        <f>'30-ADM_CENTRAL'!C6</f>
        <v>524238.23087338207</v>
      </c>
      <c r="D6" s="21">
        <f>'30-ADM_CENTRAL'!D6</f>
        <v>479472.82740456046</v>
      </c>
      <c r="E6" s="16">
        <f t="shared" ref="E6:E45" si="0">IFERROR(C6/D6-1,0)</f>
        <v>9.3363796466093163E-2</v>
      </c>
      <c r="F6" s="70">
        <f>'30-ADM_CENTRAL'!F6</f>
        <v>433659.15000000078</v>
      </c>
      <c r="G6" s="22">
        <f t="shared" ref="G6:G20" si="1">IFERROR(C6/F6-1,0)</f>
        <v>0.20887160082608913</v>
      </c>
      <c r="H6" s="118">
        <f>'30-ADM_CENTRAL'!H6</f>
        <v>418006.61</v>
      </c>
      <c r="I6" s="118">
        <f>'30-ADM_CENTRAL'!I6</f>
        <v>382287.66000000003</v>
      </c>
    </row>
    <row r="7" spans="1:9" s="38" customFormat="1" x14ac:dyDescent="0.3">
      <c r="A7" s="38" t="str">
        <f>B7</f>
        <v>Médica</v>
      </c>
      <c r="B7" s="19" t="str">
        <f>'30-ADM_CENTRAL'!B7</f>
        <v>Médica</v>
      </c>
      <c r="C7" s="20">
        <f>'30-ADM_CENTRAL'!C7</f>
        <v>14296105</v>
      </c>
      <c r="D7" s="21">
        <f>'30-ADM_CENTRAL'!D7</f>
        <v>12700189.863069788</v>
      </c>
      <c r="E7" s="16">
        <f t="shared" si="0"/>
        <v>0.12566073059827954</v>
      </c>
      <c r="F7" s="70">
        <f>'30-ADM_CENTRAL'!F7</f>
        <v>11525889.839999985</v>
      </c>
      <c r="G7" s="22">
        <f t="shared" si="1"/>
        <v>0.2403471834674431</v>
      </c>
      <c r="H7" s="118">
        <f>'30-ADM_CENTRAL'!H7</f>
        <v>10533164.439999999</v>
      </c>
      <c r="I7" s="118">
        <f>'30-ADM_CENTRAL'!I7</f>
        <v>9923200.0199999996</v>
      </c>
    </row>
    <row r="8" spans="1:9" s="38" customFormat="1" x14ac:dyDescent="0.3">
      <c r="A8" s="38" t="str">
        <f>B8</f>
        <v>Recursos Humanos</v>
      </c>
      <c r="B8" s="61" t="str">
        <f>'30-ADM_CENTRAL'!B8</f>
        <v>Recursos Humanos</v>
      </c>
      <c r="C8" s="40">
        <f>'30-ADM_CENTRAL'!C8</f>
        <v>7228974.1997492295</v>
      </c>
      <c r="D8" s="62">
        <f>'30-ADM_CENTRAL'!D8</f>
        <v>6431517.9764331402</v>
      </c>
      <c r="E8" s="16">
        <f t="shared" si="0"/>
        <v>0.12399191392112852</v>
      </c>
      <c r="F8" s="77">
        <f>'30-ADM_CENTRAL'!F8</f>
        <v>7042665.8700000169</v>
      </c>
      <c r="G8" s="22">
        <f>IFERROR(C8/F8-1,0)</f>
        <v>2.6454233835349061E-2</v>
      </c>
      <c r="H8" s="147">
        <f>'30-ADM_CENTRAL'!H8</f>
        <v>6045258.7000000048</v>
      </c>
      <c r="I8" s="147">
        <f>'30-ADM_CENTRAL'!I8</f>
        <v>5423169.2599999998</v>
      </c>
    </row>
    <row r="9" spans="1:9" s="38" customFormat="1" x14ac:dyDescent="0.3">
      <c r="A9" s="38" t="str">
        <f>B9</f>
        <v>Segurança</v>
      </c>
      <c r="B9" s="19" t="str">
        <f>'30-ADM_CENTRAL'!B9</f>
        <v>Segurança</v>
      </c>
      <c r="C9" s="20">
        <f>'30-ADM_CENTRAL'!C9</f>
        <v>22487705</v>
      </c>
      <c r="D9" s="21">
        <f>'30-ADM_CENTRAL'!D9</f>
        <v>20356908.692255907</v>
      </c>
      <c r="E9" s="16">
        <f t="shared" si="0"/>
        <v>0.10467189984276359</v>
      </c>
      <c r="F9" s="70">
        <f>'30-ADM_CENTRAL'!F9</f>
        <v>20663024.989999965</v>
      </c>
      <c r="G9" s="22">
        <f>IFERROR(C9/F9-1,0)</f>
        <v>8.8306528733479439E-2</v>
      </c>
      <c r="H9" s="118">
        <f>'30-ADM_CENTRAL'!H9</f>
        <v>19464264.200000044</v>
      </c>
      <c r="I9" s="118">
        <f>'30-ADM_CENTRAL'!I9</f>
        <v>19187698.720000006</v>
      </c>
    </row>
    <row r="10" spans="1:9" x14ac:dyDescent="0.3">
      <c r="B10" s="46" t="s">
        <v>51</v>
      </c>
      <c r="C10" s="51">
        <f>SUM(C5:C9)</f>
        <v>47770538.886557654</v>
      </c>
      <c r="D10" s="28">
        <f>SUM(D5:D9)</f>
        <v>42838643.023995437</v>
      </c>
      <c r="E10" s="121">
        <f t="shared" si="0"/>
        <v>0.11512726628151326</v>
      </c>
      <c r="F10" s="49">
        <f>SUM(F5:F9)</f>
        <v>42645303.089999959</v>
      </c>
      <c r="G10" s="122">
        <f>IFERROR(C10/F10-1,0)</f>
        <v>0.12018289061614218</v>
      </c>
      <c r="H10" s="150">
        <f t="shared" ref="H10:I10" si="2">SUM(H5:H9)</f>
        <v>39098280.38000004</v>
      </c>
      <c r="I10" s="142">
        <f t="shared" si="2"/>
        <v>37910588.910000004</v>
      </c>
    </row>
    <row r="11" spans="1:9" x14ac:dyDescent="0.3">
      <c r="B11" s="38"/>
      <c r="C11" s="50"/>
      <c r="D11" s="50"/>
      <c r="E11" s="50"/>
      <c r="F11" s="50"/>
      <c r="G11" s="50"/>
      <c r="H11" s="50"/>
      <c r="I11" s="50"/>
    </row>
    <row r="12" spans="1:9" x14ac:dyDescent="0.3">
      <c r="B12" s="202" t="s">
        <v>52</v>
      </c>
      <c r="C12" s="8"/>
      <c r="D12" s="8"/>
      <c r="E12" s="36"/>
      <c r="F12" s="36"/>
      <c r="G12" s="36"/>
      <c r="H12" s="8"/>
      <c r="I12" s="8"/>
    </row>
    <row r="13" spans="1:9" ht="43.2" x14ac:dyDescent="0.3">
      <c r="B13" s="203"/>
      <c r="C13" s="10" t="str">
        <f>'23-Despesas '!C$4</f>
        <v>Orçamento 2026</v>
      </c>
      <c r="D13" s="10" t="str">
        <f>'23-Despesas '!D$4</f>
        <v>Projeção 2025</v>
      </c>
      <c r="E13" s="11" t="s">
        <v>6</v>
      </c>
      <c r="F13" s="37" t="str">
        <f>'23-Despesas '!F$4</f>
        <v>Orçamento 2025</v>
      </c>
      <c r="G13" s="12" t="s">
        <v>8</v>
      </c>
      <c r="H13" s="10" t="s">
        <v>382</v>
      </c>
      <c r="I13" s="10" t="s">
        <v>197</v>
      </c>
    </row>
    <row r="14" spans="1:9" x14ac:dyDescent="0.3">
      <c r="A14" s="78" t="s">
        <v>85</v>
      </c>
      <c r="B14" s="19" t="str">
        <f t="shared" ref="B14:B19" si="3">A14</f>
        <v>Administração de RH</v>
      </c>
      <c r="C14" s="20">
        <v>3952994.3549620314</v>
      </c>
      <c r="D14" s="21">
        <v>3094274.4364971383</v>
      </c>
      <c r="E14" s="16">
        <f t="shared" si="0"/>
        <v>0.27751899066748709</v>
      </c>
      <c r="F14" s="44">
        <v>3030719.2499999958</v>
      </c>
      <c r="G14" s="24">
        <f t="shared" si="1"/>
        <v>0.30430898703733011</v>
      </c>
      <c r="H14" s="118">
        <v>2806298.3699999964</v>
      </c>
      <c r="I14" s="118">
        <v>2594121.5799999991</v>
      </c>
    </row>
    <row r="15" spans="1:9" x14ac:dyDescent="0.3">
      <c r="A15" s="78" t="s">
        <v>87</v>
      </c>
      <c r="B15" s="19" t="str">
        <f t="shared" si="3"/>
        <v>Medicina e Segurança do Trabalho</v>
      </c>
      <c r="C15" s="20">
        <v>1365559.8447872021</v>
      </c>
      <c r="D15" s="21">
        <v>1316858.8829085676</v>
      </c>
      <c r="E15" s="16">
        <f t="shared" si="0"/>
        <v>3.698267332264793E-2</v>
      </c>
      <c r="F15" s="44">
        <v>1337855.5800000005</v>
      </c>
      <c r="G15" s="22">
        <f t="shared" si="1"/>
        <v>2.0707963700537402E-2</v>
      </c>
      <c r="H15" s="118">
        <v>1239159.0200000003</v>
      </c>
      <c r="I15" s="118">
        <v>1098908.3199999996</v>
      </c>
    </row>
    <row r="16" spans="1:9" x14ac:dyDescent="0.3">
      <c r="A16" s="78" t="s">
        <v>88</v>
      </c>
      <c r="B16" s="19" t="str">
        <f t="shared" si="3"/>
        <v>Endomarketing SouECP</v>
      </c>
      <c r="C16" s="20">
        <v>809700</v>
      </c>
      <c r="D16" s="21">
        <v>654839.08937139739</v>
      </c>
      <c r="E16" s="16">
        <f t="shared" si="0"/>
        <v>0.23648696777899891</v>
      </c>
      <c r="F16" s="44">
        <v>824080.14</v>
      </c>
      <c r="G16" s="24">
        <f t="shared" si="1"/>
        <v>-1.7449929080926574E-2</v>
      </c>
      <c r="H16" s="118">
        <v>694374.28</v>
      </c>
      <c r="I16" s="118">
        <v>615341.49</v>
      </c>
    </row>
    <row r="17" spans="1:9" x14ac:dyDescent="0.3">
      <c r="A17" s="78" t="s">
        <v>89</v>
      </c>
      <c r="B17" s="19" t="str">
        <f t="shared" si="3"/>
        <v>Treinamento e Desenvolvimento</v>
      </c>
      <c r="C17" s="20">
        <v>721000</v>
      </c>
      <c r="D17" s="21">
        <v>582170.1597529453</v>
      </c>
      <c r="E17" s="16">
        <f t="shared" si="0"/>
        <v>0.23846952290713364</v>
      </c>
      <c r="F17" s="44">
        <v>762082.24000000011</v>
      </c>
      <c r="G17" s="22">
        <f t="shared" si="1"/>
        <v>-5.3907882697804554E-2</v>
      </c>
      <c r="H17" s="118">
        <v>525219.65000000014</v>
      </c>
      <c r="I17" s="118">
        <v>199734.88</v>
      </c>
    </row>
    <row r="18" spans="1:9" x14ac:dyDescent="0.3">
      <c r="A18" s="78" t="s">
        <v>86</v>
      </c>
      <c r="B18" s="19" t="str">
        <f t="shared" si="3"/>
        <v>Programa de Aprendizes</v>
      </c>
      <c r="C18" s="20">
        <v>200000</v>
      </c>
      <c r="D18" s="118">
        <v>233000.8507210984</v>
      </c>
      <c r="E18" s="16">
        <f t="shared" si="0"/>
        <v>-0.14163403532204422</v>
      </c>
      <c r="F18" s="119">
        <v>419938.38000000035</v>
      </c>
      <c r="G18" s="24">
        <f t="shared" si="1"/>
        <v>-0.52373964961240305</v>
      </c>
      <c r="H18" s="118">
        <v>303817.07999999978</v>
      </c>
      <c r="I18" s="118">
        <v>573645.50999999989</v>
      </c>
    </row>
    <row r="19" spans="1:9" x14ac:dyDescent="0.3">
      <c r="A19" s="78" t="s">
        <v>90</v>
      </c>
      <c r="B19" s="19" t="str">
        <f t="shared" si="3"/>
        <v>Recrutamento e Seleção</v>
      </c>
      <c r="C19" s="20">
        <v>179720</v>
      </c>
      <c r="D19" s="118">
        <v>550374.5571819878</v>
      </c>
      <c r="E19" s="16">
        <f t="shared" si="0"/>
        <v>-0.67345874249675119</v>
      </c>
      <c r="F19" s="119">
        <v>667990.27999999933</v>
      </c>
      <c r="G19" s="24">
        <f t="shared" si="1"/>
        <v>-0.73095416897383569</v>
      </c>
      <c r="H19" s="118">
        <v>476390.29999999993</v>
      </c>
      <c r="I19" s="118">
        <v>341417.48</v>
      </c>
    </row>
    <row r="20" spans="1:9" x14ac:dyDescent="0.3">
      <c r="B20" s="46" t="s">
        <v>51</v>
      </c>
      <c r="C20" s="51">
        <f>SUM(C14:C19)</f>
        <v>7228974.1997492332</v>
      </c>
      <c r="D20" s="28">
        <f>SUM(D14:D19)</f>
        <v>6431517.9764331346</v>
      </c>
      <c r="E20" s="121">
        <f t="shared" si="0"/>
        <v>0.12399191392113007</v>
      </c>
      <c r="F20" s="28">
        <f>SUM(F14:F19)</f>
        <v>7042665.8699999955</v>
      </c>
      <c r="G20" s="122">
        <f t="shared" si="1"/>
        <v>2.6454233835352836E-2</v>
      </c>
      <c r="H20" s="150">
        <f t="shared" ref="H20:I20" si="4">SUM(H14:H19)</f>
        <v>6045258.6999999974</v>
      </c>
      <c r="I20" s="142">
        <f t="shared" si="4"/>
        <v>5423169.2599999979</v>
      </c>
    </row>
    <row r="21" spans="1:9" x14ac:dyDescent="0.3">
      <c r="B21" s="38"/>
      <c r="C21" s="50"/>
      <c r="D21" s="50"/>
      <c r="E21" s="50"/>
      <c r="F21" s="50"/>
      <c r="G21" s="50"/>
      <c r="H21" s="50"/>
      <c r="I21" s="50"/>
    </row>
    <row r="22" spans="1:9" x14ac:dyDescent="0.3">
      <c r="A22" s="78"/>
      <c r="B22" s="202" t="s">
        <v>56</v>
      </c>
      <c r="C22" s="8"/>
      <c r="D22" s="8"/>
      <c r="E22" s="36"/>
      <c r="F22" s="36"/>
      <c r="G22" s="36"/>
      <c r="H22" s="8"/>
      <c r="I22" s="8"/>
    </row>
    <row r="23" spans="1:9" ht="43.2" x14ac:dyDescent="0.3">
      <c r="B23" s="203"/>
      <c r="C23" s="10" t="str">
        <f>'23-Despesas '!C$4</f>
        <v>Orçamento 2026</v>
      </c>
      <c r="D23" s="10" t="str">
        <f>'23-Despesas '!D$4</f>
        <v>Projeção 2025</v>
      </c>
      <c r="E23" s="11" t="s">
        <v>6</v>
      </c>
      <c r="F23" s="37" t="str">
        <f>'23-Despesas '!F$4</f>
        <v>Orçamento 2025</v>
      </c>
      <c r="G23" s="12" t="s">
        <v>8</v>
      </c>
      <c r="H23" s="10" t="s">
        <v>382</v>
      </c>
      <c r="I23" s="10" t="s">
        <v>197</v>
      </c>
    </row>
    <row r="24" spans="1:9" x14ac:dyDescent="0.3">
      <c r="B24" s="39" t="s">
        <v>57</v>
      </c>
      <c r="C24" s="53">
        <f>SUM(C25:C28)</f>
        <v>3599296.1997492337</v>
      </c>
      <c r="D24" s="65">
        <f>SUM(D25:D28)</f>
        <v>3138677.5611956296</v>
      </c>
      <c r="E24" s="16">
        <f t="shared" si="0"/>
        <v>0.14675564137213848</v>
      </c>
      <c r="F24" s="55">
        <f>SUM(F25:F28)</f>
        <v>3565110.52</v>
      </c>
      <c r="G24" s="22">
        <f t="shared" ref="G24:G45" si="5">IFERROR(C24/F24-1,0)</f>
        <v>9.5889537105384726E-3</v>
      </c>
      <c r="H24" s="151">
        <f t="shared" ref="H24:I24" si="6">SUM(H25:H28)</f>
        <v>3157702.1800000006</v>
      </c>
      <c r="I24" s="151">
        <f t="shared" si="6"/>
        <v>3077353.6799999997</v>
      </c>
    </row>
    <row r="25" spans="1:9" x14ac:dyDescent="0.3">
      <c r="A25" s="78" t="s">
        <v>58</v>
      </c>
      <c r="B25" s="19" t="str">
        <f>A25</f>
        <v>Salários e provisões</v>
      </c>
      <c r="C25" s="20">
        <v>2300875.5507233744</v>
      </c>
      <c r="D25" s="21">
        <v>2067889.0385271774</v>
      </c>
      <c r="E25" s="16">
        <f t="shared" si="0"/>
        <v>0.11266876890170963</v>
      </c>
      <c r="F25" s="44">
        <v>2307483.66</v>
      </c>
      <c r="G25" s="22">
        <f t="shared" si="5"/>
        <v>-2.8637729450382565E-3</v>
      </c>
      <c r="H25" s="118">
        <v>2090622.4000000004</v>
      </c>
      <c r="I25" s="118">
        <v>1999118.0399999998</v>
      </c>
    </row>
    <row r="26" spans="1:9" x14ac:dyDescent="0.3">
      <c r="A26" s="78" t="s">
        <v>59</v>
      </c>
      <c r="B26" s="19" t="str">
        <f>A26</f>
        <v>Encargos sociais</v>
      </c>
      <c r="C26" s="20">
        <v>816810.82050679787</v>
      </c>
      <c r="D26" s="21">
        <v>702120.93955234753</v>
      </c>
      <c r="E26" s="16">
        <f t="shared" si="0"/>
        <v>0.16334775747832464</v>
      </c>
      <c r="F26" s="44">
        <v>816510.96</v>
      </c>
      <c r="G26" s="22">
        <f t="shared" si="5"/>
        <v>3.6724615037364572E-4</v>
      </c>
      <c r="H26" s="118">
        <v>698957.0400000005</v>
      </c>
      <c r="I26" s="118">
        <v>678826.65000000014</v>
      </c>
    </row>
    <row r="27" spans="1:9" x14ac:dyDescent="0.3">
      <c r="A27" s="78" t="s">
        <v>60</v>
      </c>
      <c r="B27" s="19" t="str">
        <f>A27</f>
        <v>Benefícios</v>
      </c>
      <c r="C27" s="20">
        <v>481609.82851906173</v>
      </c>
      <c r="D27" s="21">
        <v>368667.58311610477</v>
      </c>
      <c r="E27" s="16">
        <f t="shared" si="0"/>
        <v>0.306352526165524</v>
      </c>
      <c r="F27" s="44">
        <v>441115.89999999985</v>
      </c>
      <c r="G27" s="22">
        <f t="shared" si="5"/>
        <v>9.1798841345464677E-2</v>
      </c>
      <c r="H27" s="118">
        <v>368122.74</v>
      </c>
      <c r="I27" s="118">
        <v>381658.95999999996</v>
      </c>
    </row>
    <row r="28" spans="1:9" x14ac:dyDescent="0.3">
      <c r="A28" s="78" t="s">
        <v>61</v>
      </c>
      <c r="B28" s="19" t="str">
        <f>A28</f>
        <v>Outros</v>
      </c>
      <c r="C28" s="20">
        <v>0</v>
      </c>
      <c r="D28" s="21">
        <v>0</v>
      </c>
      <c r="E28" s="16">
        <f t="shared" si="0"/>
        <v>0</v>
      </c>
      <c r="F28" s="44">
        <v>0</v>
      </c>
      <c r="G28" s="22">
        <f t="shared" si="5"/>
        <v>0</v>
      </c>
      <c r="H28" s="118">
        <v>0</v>
      </c>
      <c r="I28" s="118">
        <v>17750.03</v>
      </c>
    </row>
    <row r="29" spans="1:9" x14ac:dyDescent="0.3">
      <c r="B29" s="39" t="s">
        <v>62</v>
      </c>
      <c r="C29" s="53">
        <f>SUM(C30:C30)</f>
        <v>1524942</v>
      </c>
      <c r="D29" s="65">
        <f>SUM(D30:D30)</f>
        <v>1532591.1940041296</v>
      </c>
      <c r="E29" s="123">
        <f t="shared" si="0"/>
        <v>-4.9910204587205742E-3</v>
      </c>
      <c r="F29" s="55">
        <f>SUM(F30:F30)</f>
        <v>1776522.3399999999</v>
      </c>
      <c r="G29" s="125">
        <f t="shared" si="5"/>
        <v>-0.14161394671794547</v>
      </c>
      <c r="H29" s="151">
        <f t="shared" ref="H29:I29" si="7">SUM(H30:H30)</f>
        <v>1228146.9899999995</v>
      </c>
      <c r="I29" s="151">
        <f t="shared" si="7"/>
        <v>923760.55</v>
      </c>
    </row>
    <row r="30" spans="1:9" s="38" customFormat="1" x14ac:dyDescent="0.3">
      <c r="A30" s="38" t="s">
        <v>63</v>
      </c>
      <c r="B30" s="19" t="str">
        <f>A30</f>
        <v>Serviços contratados</v>
      </c>
      <c r="C30" s="20">
        <v>1524942</v>
      </c>
      <c r="D30" s="21">
        <v>1532591.1940041296</v>
      </c>
      <c r="E30" s="124">
        <f t="shared" si="0"/>
        <v>-4.9910204587205742E-3</v>
      </c>
      <c r="F30" s="44">
        <v>1776522.3399999999</v>
      </c>
      <c r="G30" s="126">
        <f t="shared" si="5"/>
        <v>-0.14161394671794547</v>
      </c>
      <c r="H30" s="118">
        <v>1228146.9899999995</v>
      </c>
      <c r="I30" s="118">
        <v>923760.55</v>
      </c>
    </row>
    <row r="31" spans="1:9" x14ac:dyDescent="0.3">
      <c r="B31" s="39" t="s">
        <v>64</v>
      </c>
      <c r="C31" s="53">
        <f>SUM(C32:C34)</f>
        <v>980476</v>
      </c>
      <c r="D31" s="65">
        <f>SUM(D32:D34)</f>
        <v>811720.89735235169</v>
      </c>
      <c r="E31" s="16">
        <f t="shared" si="0"/>
        <v>0.20789794028722053</v>
      </c>
      <c r="F31" s="55">
        <f>SUM(F32:F34)</f>
        <v>839482.2899999998</v>
      </c>
      <c r="G31" s="22">
        <f t="shared" si="5"/>
        <v>0.1679531678982773</v>
      </c>
      <c r="H31" s="151">
        <f t="shared" ref="H31:I31" si="8">SUM(H32:H34)</f>
        <v>822091.11</v>
      </c>
      <c r="I31" s="151">
        <f t="shared" si="8"/>
        <v>698546.74000000011</v>
      </c>
    </row>
    <row r="32" spans="1:9" x14ac:dyDescent="0.3">
      <c r="A32" t="s">
        <v>66</v>
      </c>
      <c r="B32" s="19" t="str">
        <f>A32</f>
        <v>Mercadoria de revenda e consumo</v>
      </c>
      <c r="C32" s="20">
        <v>572336</v>
      </c>
      <c r="D32" s="21">
        <v>494190.53135437466</v>
      </c>
      <c r="E32" s="16">
        <f t="shared" si="0"/>
        <v>0.15812821915357311</v>
      </c>
      <c r="F32" s="44">
        <v>533490.84</v>
      </c>
      <c r="G32" s="22">
        <f t="shared" si="5"/>
        <v>7.2813171450141656E-2</v>
      </c>
      <c r="H32" s="118">
        <v>466029.83</v>
      </c>
      <c r="I32" s="118">
        <v>453477.72000000009</v>
      </c>
    </row>
    <row r="33" spans="1:9" x14ac:dyDescent="0.3">
      <c r="A33" t="s">
        <v>67</v>
      </c>
      <c r="B33" s="19" t="str">
        <f>A33</f>
        <v>Mercadoria de uso geral</v>
      </c>
      <c r="C33" s="20">
        <v>312060</v>
      </c>
      <c r="D33" s="21">
        <v>281216.20569449675</v>
      </c>
      <c r="E33" s="16">
        <f t="shared" si="0"/>
        <v>0.10968000307567927</v>
      </c>
      <c r="F33" s="44">
        <v>293286.2099999999</v>
      </c>
      <c r="G33" s="22">
        <f t="shared" si="5"/>
        <v>6.4011840174824863E-2</v>
      </c>
      <c r="H33" s="118">
        <v>306989.56</v>
      </c>
      <c r="I33" s="118">
        <v>201778.73999999996</v>
      </c>
    </row>
    <row r="34" spans="1:9" x14ac:dyDescent="0.3">
      <c r="A34" t="s">
        <v>65</v>
      </c>
      <c r="B34" s="56" t="str">
        <f>A34</f>
        <v>Material de consumo geral</v>
      </c>
      <c r="C34" s="20">
        <v>96080</v>
      </c>
      <c r="D34" s="21">
        <v>36314.160303480385</v>
      </c>
      <c r="E34" s="16">
        <f t="shared" si="0"/>
        <v>1.6457998531991831</v>
      </c>
      <c r="F34" s="59">
        <v>12705.239999999998</v>
      </c>
      <c r="G34" s="22">
        <f t="shared" si="5"/>
        <v>6.5622341648012954</v>
      </c>
      <c r="H34" s="118">
        <v>49071.72</v>
      </c>
      <c r="I34" s="118">
        <v>43290.28</v>
      </c>
    </row>
    <row r="35" spans="1:9" s="45" customFormat="1" hidden="1" x14ac:dyDescent="0.3">
      <c r="B35" s="61" t="s">
        <v>68</v>
      </c>
      <c r="C35" s="40">
        <f>SUM(C36)</f>
        <v>0</v>
      </c>
      <c r="D35" s="65">
        <f>SUM(D36)</f>
        <v>0</v>
      </c>
      <c r="E35" s="16">
        <f t="shared" si="0"/>
        <v>0</v>
      </c>
      <c r="F35" s="63">
        <f>SUM(F36)</f>
        <v>0</v>
      </c>
      <c r="G35" s="22">
        <f t="shared" si="5"/>
        <v>0</v>
      </c>
      <c r="H35" s="147">
        <f t="shared" ref="H35:I35" si="9">SUM(H36)</f>
        <v>0</v>
      </c>
      <c r="I35" s="147">
        <f t="shared" si="9"/>
        <v>0</v>
      </c>
    </row>
    <row r="36" spans="1:9" hidden="1" x14ac:dyDescent="0.3">
      <c r="B36" s="19" t="s">
        <v>68</v>
      </c>
      <c r="C36" s="20"/>
      <c r="D36" s="67"/>
      <c r="E36" s="16">
        <f t="shared" si="0"/>
        <v>0</v>
      </c>
      <c r="F36" s="44"/>
      <c r="G36" s="22">
        <f t="shared" si="5"/>
        <v>0</v>
      </c>
      <c r="H36" s="118"/>
      <c r="I36" s="118"/>
    </row>
    <row r="37" spans="1:9" hidden="1" x14ac:dyDescent="0.3">
      <c r="B37" s="39" t="s">
        <v>69</v>
      </c>
      <c r="C37" s="53">
        <f>SUM(C38)</f>
        <v>0</v>
      </c>
      <c r="D37" s="65">
        <f>SUM(D38)</f>
        <v>0</v>
      </c>
      <c r="E37" s="16">
        <f t="shared" si="0"/>
        <v>0</v>
      </c>
      <c r="F37" s="55">
        <f>SUM(F38)</f>
        <v>0</v>
      </c>
      <c r="G37" s="22">
        <f t="shared" si="5"/>
        <v>0</v>
      </c>
      <c r="H37" s="151">
        <f t="shared" ref="H37:I37" si="10">SUM(H38)</f>
        <v>0</v>
      </c>
      <c r="I37" s="151">
        <f t="shared" si="10"/>
        <v>0</v>
      </c>
    </row>
    <row r="38" spans="1:9" hidden="1" x14ac:dyDescent="0.3">
      <c r="B38" s="19" t="s">
        <v>70</v>
      </c>
      <c r="C38" s="20"/>
      <c r="D38" s="67"/>
      <c r="E38" s="16">
        <f t="shared" si="0"/>
        <v>0</v>
      </c>
      <c r="F38" s="44"/>
      <c r="G38" s="22">
        <f t="shared" si="5"/>
        <v>0</v>
      </c>
      <c r="H38" s="118"/>
      <c r="I38" s="118"/>
    </row>
    <row r="39" spans="1:9" x14ac:dyDescent="0.3">
      <c r="B39" s="39" t="s">
        <v>71</v>
      </c>
      <c r="C39" s="53">
        <f>SUM(C40:C42)</f>
        <v>937060</v>
      </c>
      <c r="D39" s="65">
        <f>SUM(D40:D42)</f>
        <v>225936.21388102486</v>
      </c>
      <c r="E39" s="123">
        <f t="shared" si="0"/>
        <v>3.1474537609692081</v>
      </c>
      <c r="F39" s="55">
        <f>SUM(F40:F42)</f>
        <v>275180.7</v>
      </c>
      <c r="G39" s="125">
        <f t="shared" si="5"/>
        <v>2.4052533480727392</v>
      </c>
      <c r="H39" s="151">
        <f t="shared" ref="H39:I39" si="11">SUM(H40:H42)</f>
        <v>176759.67</v>
      </c>
      <c r="I39" s="151">
        <f t="shared" si="11"/>
        <v>91542.64</v>
      </c>
    </row>
    <row r="40" spans="1:9" x14ac:dyDescent="0.3">
      <c r="A40" t="s">
        <v>73</v>
      </c>
      <c r="B40" s="19" t="str">
        <f>A40</f>
        <v>Outros gastos gerais</v>
      </c>
      <c r="C40" s="20">
        <v>913800</v>
      </c>
      <c r="D40" s="62">
        <v>205329.36041412369</v>
      </c>
      <c r="E40" s="127">
        <f t="shared" si="0"/>
        <v>3.4504107846874872</v>
      </c>
      <c r="F40" s="44">
        <v>268579</v>
      </c>
      <c r="G40" s="128">
        <f t="shared" si="5"/>
        <v>2.4023508911716851</v>
      </c>
      <c r="H40" s="118">
        <v>144009.85</v>
      </c>
      <c r="I40" s="118">
        <v>77073.84</v>
      </c>
    </row>
    <row r="41" spans="1:9" x14ac:dyDescent="0.3">
      <c r="A41" t="s">
        <v>72</v>
      </c>
      <c r="B41" s="19" t="str">
        <f>A41</f>
        <v>Locomoções gerais - viagens - estadias</v>
      </c>
      <c r="C41" s="20">
        <v>23160</v>
      </c>
      <c r="D41" s="62">
        <v>17638.943466901161</v>
      </c>
      <c r="E41" s="127">
        <f t="shared" si="0"/>
        <v>0.31300381133705102</v>
      </c>
      <c r="F41" s="44">
        <v>6485.3000000000011</v>
      </c>
      <c r="G41" s="128">
        <f t="shared" si="5"/>
        <v>2.5711532234437877</v>
      </c>
      <c r="H41" s="118">
        <v>29949.280000000006</v>
      </c>
      <c r="I41" s="118">
        <v>13371.66</v>
      </c>
    </row>
    <row r="42" spans="1:9" s="38" customFormat="1" x14ac:dyDescent="0.3">
      <c r="A42" s="38" t="s">
        <v>82</v>
      </c>
      <c r="B42" s="19" t="str">
        <f>A42</f>
        <v>Despesas financeiras</v>
      </c>
      <c r="C42" s="20">
        <v>100</v>
      </c>
      <c r="D42" s="21">
        <v>2967.9099999999994</v>
      </c>
      <c r="E42" s="124">
        <f t="shared" si="0"/>
        <v>-0.96630625591746377</v>
      </c>
      <c r="F42" s="44">
        <v>116.4</v>
      </c>
      <c r="G42" s="126">
        <f t="shared" si="5"/>
        <v>-0.14089347079037806</v>
      </c>
      <c r="H42" s="118">
        <v>2800.5400000000004</v>
      </c>
      <c r="I42" s="118">
        <v>1097.1399999999999</v>
      </c>
    </row>
    <row r="43" spans="1:9" s="45" customFormat="1" x14ac:dyDescent="0.3">
      <c r="B43" s="39" t="s">
        <v>83</v>
      </c>
      <c r="C43" s="53">
        <f>SUM(C44)</f>
        <v>187200</v>
      </c>
      <c r="D43" s="65">
        <f>SUM(D44)</f>
        <v>722592.11</v>
      </c>
      <c r="E43" s="16">
        <f t="shared" si="0"/>
        <v>-0.74093268192479989</v>
      </c>
      <c r="F43" s="55">
        <f>SUM(F44)</f>
        <v>586370.02</v>
      </c>
      <c r="G43" s="22">
        <f t="shared" si="5"/>
        <v>-0.68074766168979783</v>
      </c>
      <c r="H43" s="151">
        <f t="shared" ref="H43:I43" si="12">SUM(H44)</f>
        <v>660558.75</v>
      </c>
      <c r="I43" s="151">
        <f t="shared" si="12"/>
        <v>631965.64999999991</v>
      </c>
    </row>
    <row r="44" spans="1:9" x14ac:dyDescent="0.3">
      <c r="A44" t="s">
        <v>83</v>
      </c>
      <c r="B44" s="73" t="str">
        <f>A44</f>
        <v>Tributários fiscais e taxas</v>
      </c>
      <c r="C44" s="20">
        <v>187200</v>
      </c>
      <c r="D44" s="21">
        <v>722592.11</v>
      </c>
      <c r="E44" s="16">
        <f t="shared" si="0"/>
        <v>-0.74093268192479989</v>
      </c>
      <c r="F44" s="70">
        <v>586370.02</v>
      </c>
      <c r="G44" s="22">
        <f t="shared" si="5"/>
        <v>-0.68074766168979783</v>
      </c>
      <c r="H44" s="118">
        <v>660558.75</v>
      </c>
      <c r="I44" s="118">
        <v>631965.64999999991</v>
      </c>
    </row>
    <row r="45" spans="1:9" x14ac:dyDescent="0.3">
      <c r="B45" s="26" t="s">
        <v>51</v>
      </c>
      <c r="C45" s="51">
        <f>SUM(C43+C39+C37+C35+C31+C29+C24)</f>
        <v>7228974.1997492332</v>
      </c>
      <c r="D45" s="28">
        <f>SUM(D43+D39+D37+D35+D31+D29+D24)</f>
        <v>6431517.9764331356</v>
      </c>
      <c r="E45" s="121">
        <f t="shared" si="0"/>
        <v>0.12399191392113007</v>
      </c>
      <c r="F45" s="49">
        <f>SUM(F43+F39+F37+F35+F31+F29+F24)</f>
        <v>7042665.8699999992</v>
      </c>
      <c r="G45" s="122">
        <f t="shared" si="5"/>
        <v>2.645423383535217E-2</v>
      </c>
      <c r="H45" s="150">
        <f t="shared" ref="H45:I45" si="13">SUM(H43+H39+H37+H35+H31+H29+H24)</f>
        <v>6045258.7000000002</v>
      </c>
      <c r="I45" s="142">
        <f t="shared" si="13"/>
        <v>5423169.2599999998</v>
      </c>
    </row>
  </sheetData>
  <mergeCells count="3">
    <mergeCell ref="B3:B4"/>
    <mergeCell ref="B12:B13"/>
    <mergeCell ref="B22:B23"/>
  </mergeCells>
  <pageMargins left="0.511811024" right="0.511811024" top="0.78740157499999996" bottom="0.78740157499999996" header="0.31496062000000002" footer="0.31496062000000002"/>
  <ignoredErrors>
    <ignoredError sqref="F29 F31 F35:F39 F43 C43:D43 C35:D39 C31:D31 C29:D2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4"/>
  <sheetViews>
    <sheetView showGridLines="0" showRowColHeaders="0" topLeftCell="B14" workbookViewId="0">
      <selection activeCell="C38" sqref="C38"/>
    </sheetView>
  </sheetViews>
  <sheetFormatPr defaultRowHeight="14.4" x14ac:dyDescent="0.3"/>
  <cols>
    <col min="1" max="1" width="25.4414062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91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38" t="str">
        <f>B5</f>
        <v>Central de Atendimento</v>
      </c>
      <c r="B5" s="13" t="str">
        <f>'30-ADM_CENTRAL'!B5</f>
        <v>Central de Atendimento</v>
      </c>
      <c r="C5" s="20">
        <f>'30-ADM_CENTRAL'!C5</f>
        <v>3233516.4559350433</v>
      </c>
      <c r="D5" s="43">
        <f>'30-ADM_CENTRAL'!D5</f>
        <v>2870553.6648320407</v>
      </c>
      <c r="E5" s="16">
        <f>IFERROR(C5/D5-1,0)</f>
        <v>0.12644347867443195</v>
      </c>
      <c r="F5" s="44">
        <f>'30-ADM_CENTRAL'!F5</f>
        <v>2980063.2399999951</v>
      </c>
      <c r="G5" s="17">
        <f>IFERROR(C5/F5-1,0)</f>
        <v>8.504960986500687E-2</v>
      </c>
      <c r="H5" s="118">
        <f>'30-ADM_CENTRAL'!H5</f>
        <v>2637586.429999996</v>
      </c>
      <c r="I5" s="118">
        <f>'30-ADM_CENTRAL'!I5</f>
        <v>2994233.25</v>
      </c>
    </row>
    <row r="6" spans="1:9" s="45" customFormat="1" x14ac:dyDescent="0.3">
      <c r="A6" s="38" t="str">
        <f>B6</f>
        <v>Ética Disciplinar</v>
      </c>
      <c r="B6" s="19" t="str">
        <f>'30-ADM_CENTRAL'!B6</f>
        <v>Ética Disciplinar</v>
      </c>
      <c r="C6" s="20">
        <f>'30-ADM_CENTRAL'!C6</f>
        <v>524238.23087338207</v>
      </c>
      <c r="D6" s="79">
        <f>'30-ADM_CENTRAL'!D6</f>
        <v>479472.82740456046</v>
      </c>
      <c r="E6" s="16">
        <f t="shared" ref="E6:E43" si="0">IFERROR(C6/D6-1,0)</f>
        <v>9.3363796466093163E-2</v>
      </c>
      <c r="F6" s="70">
        <f>'30-ADM_CENTRAL'!F6</f>
        <v>433659.15000000078</v>
      </c>
      <c r="G6" s="22">
        <f t="shared" ref="G6:G18" si="1">IFERROR(C6/F6-1,0)</f>
        <v>0.20887160082608913</v>
      </c>
      <c r="H6" s="118">
        <f>'30-ADM_CENTRAL'!H6</f>
        <v>418006.61</v>
      </c>
      <c r="I6" s="118">
        <f>'30-ADM_CENTRAL'!I6</f>
        <v>382287.66000000003</v>
      </c>
    </row>
    <row r="7" spans="1:9" s="45" customFormat="1" x14ac:dyDescent="0.3">
      <c r="A7" s="38" t="str">
        <f>B7</f>
        <v>Médica</v>
      </c>
      <c r="B7" s="19" t="str">
        <f>'30-ADM_CENTRAL'!B7</f>
        <v>Médica</v>
      </c>
      <c r="C7" s="20">
        <f>'30-ADM_CENTRAL'!C7</f>
        <v>14296105</v>
      </c>
      <c r="D7" s="79">
        <f>'30-ADM_CENTRAL'!D7</f>
        <v>12700189.863069788</v>
      </c>
      <c r="E7" s="16">
        <f t="shared" si="0"/>
        <v>0.12566073059827954</v>
      </c>
      <c r="F7" s="70">
        <f>'30-ADM_CENTRAL'!F7</f>
        <v>11525889.839999985</v>
      </c>
      <c r="G7" s="22">
        <f t="shared" si="1"/>
        <v>0.2403471834674431</v>
      </c>
      <c r="H7" s="118">
        <f>'30-ADM_CENTRAL'!H7</f>
        <v>10533164.439999999</v>
      </c>
      <c r="I7" s="118">
        <f>'30-ADM_CENTRAL'!I7</f>
        <v>9923200.0199999996</v>
      </c>
    </row>
    <row r="8" spans="1:9" s="45" customFormat="1" x14ac:dyDescent="0.3">
      <c r="A8" s="38" t="str">
        <f>B8</f>
        <v>Recursos Humanos</v>
      </c>
      <c r="B8" s="19" t="str">
        <f>'30-ADM_CENTRAL'!B8</f>
        <v>Recursos Humanos</v>
      </c>
      <c r="C8" s="20">
        <f>'30-ADM_CENTRAL'!C8</f>
        <v>7228974.1997492295</v>
      </c>
      <c r="D8" s="79">
        <f>'30-ADM_CENTRAL'!D8</f>
        <v>6431517.9764331402</v>
      </c>
      <c r="E8" s="16">
        <f t="shared" si="0"/>
        <v>0.12399191392112852</v>
      </c>
      <c r="F8" s="70">
        <f>'30-ADM_CENTRAL'!F8</f>
        <v>7042665.8700000169</v>
      </c>
      <c r="G8" s="22">
        <f>IFERROR(C8/F8-1,0)</f>
        <v>2.6454233835349061E-2</v>
      </c>
      <c r="H8" s="118">
        <f>'30-ADM_CENTRAL'!H8</f>
        <v>6045258.7000000048</v>
      </c>
      <c r="I8" s="118">
        <f>'30-ADM_CENTRAL'!I8</f>
        <v>5423169.2599999998</v>
      </c>
    </row>
    <row r="9" spans="1:9" s="45" customFormat="1" x14ac:dyDescent="0.3">
      <c r="A9" s="38" t="str">
        <f>B9</f>
        <v>Segurança</v>
      </c>
      <c r="B9" s="61" t="str">
        <f>'30-ADM_CENTRAL'!B9</f>
        <v>Segurança</v>
      </c>
      <c r="C9" s="40">
        <f>'30-ADM_CENTRAL'!C9</f>
        <v>22487705</v>
      </c>
      <c r="D9" s="80">
        <f>'30-ADM_CENTRAL'!D9</f>
        <v>20356908.692255907</v>
      </c>
      <c r="E9" s="16">
        <f t="shared" si="0"/>
        <v>0.10467189984276359</v>
      </c>
      <c r="F9" s="77">
        <f>'30-ADM_CENTRAL'!F9</f>
        <v>20663024.989999965</v>
      </c>
      <c r="G9" s="22">
        <f>IFERROR(C9/F9-1,0)</f>
        <v>8.8306528733479439E-2</v>
      </c>
      <c r="H9" s="147">
        <f>'30-ADM_CENTRAL'!H9</f>
        <v>19464264.200000044</v>
      </c>
      <c r="I9" s="147">
        <f>'30-ADM_CENTRAL'!I9</f>
        <v>19187698.720000006</v>
      </c>
    </row>
    <row r="10" spans="1:9" x14ac:dyDescent="0.3">
      <c r="B10" s="46" t="s">
        <v>51</v>
      </c>
      <c r="C10" s="51">
        <f>SUM(C5:C9)</f>
        <v>47770538.886557654</v>
      </c>
      <c r="D10" s="49">
        <f>SUM(D5:D9)</f>
        <v>42838643.023995437</v>
      </c>
      <c r="E10" s="121">
        <f t="shared" si="0"/>
        <v>0.11512726628151326</v>
      </c>
      <c r="F10" s="49">
        <f>SUM(F5:F9)</f>
        <v>42645303.089999959</v>
      </c>
      <c r="G10" s="122">
        <f>IFERROR(C10/F10-1,0)</f>
        <v>0.12018289061614218</v>
      </c>
      <c r="H10" s="150">
        <f t="shared" ref="H10:I10" si="2">SUM(H5:H9)</f>
        <v>39098280.38000004</v>
      </c>
      <c r="I10" s="142">
        <f t="shared" si="2"/>
        <v>37910588.910000004</v>
      </c>
    </row>
    <row r="11" spans="1:9" x14ac:dyDescent="0.3">
      <c r="B11" s="38"/>
      <c r="C11" s="50"/>
      <c r="D11" s="50"/>
      <c r="E11" s="50"/>
      <c r="F11" s="50"/>
      <c r="G11" s="50"/>
      <c r="H11" s="50"/>
      <c r="I11" s="50"/>
    </row>
    <row r="12" spans="1:9" x14ac:dyDescent="0.3">
      <c r="B12" s="202" t="s">
        <v>52</v>
      </c>
      <c r="C12" s="8"/>
      <c r="D12" s="8"/>
      <c r="E12" s="36"/>
      <c r="F12" s="36"/>
      <c r="G12" s="36"/>
      <c r="H12" s="8"/>
      <c r="I12" s="8"/>
    </row>
    <row r="13" spans="1:9" ht="43.2" x14ac:dyDescent="0.3">
      <c r="B13" s="203"/>
      <c r="C13" s="10" t="str">
        <f>'23-Despesas '!C$4</f>
        <v>Orçamento 2026</v>
      </c>
      <c r="D13" s="10" t="str">
        <f>'23-Despesas '!D$4</f>
        <v>Projeção 2025</v>
      </c>
      <c r="E13" s="11" t="s">
        <v>6</v>
      </c>
      <c r="F13" s="37" t="str">
        <f>'23-Despesas '!F$4</f>
        <v>Orçamento 2025</v>
      </c>
      <c r="G13" s="12" t="s">
        <v>8</v>
      </c>
      <c r="H13" s="10" t="s">
        <v>382</v>
      </c>
      <c r="I13" s="10" t="s">
        <v>197</v>
      </c>
    </row>
    <row r="14" spans="1:9" x14ac:dyDescent="0.3">
      <c r="A14" t="s">
        <v>92</v>
      </c>
      <c r="B14" s="19" t="str">
        <f>A14</f>
        <v>Portarias</v>
      </c>
      <c r="C14" s="20">
        <v>13064390.889803879</v>
      </c>
      <c r="D14" s="43">
        <v>11542190.981273746</v>
      </c>
      <c r="E14" s="16">
        <f t="shared" si="0"/>
        <v>0.13188136559166086</v>
      </c>
      <c r="F14" s="44">
        <v>11706543.069999993</v>
      </c>
      <c r="G14" s="24">
        <f t="shared" si="1"/>
        <v>0.11599050306179648</v>
      </c>
      <c r="H14" s="118">
        <v>11002930.380000001</v>
      </c>
      <c r="I14" s="118">
        <v>10556091.060000001</v>
      </c>
    </row>
    <row r="15" spans="1:9" x14ac:dyDescent="0.3">
      <c r="A15" t="s">
        <v>93</v>
      </c>
      <c r="B15" s="19" t="str">
        <f>A15</f>
        <v>Estacionamento Tucumã</v>
      </c>
      <c r="C15" s="20">
        <v>4083545</v>
      </c>
      <c r="D15" s="43">
        <v>3962650.4339685305</v>
      </c>
      <c r="E15" s="16">
        <f t="shared" si="0"/>
        <v>3.0508511423349427E-2</v>
      </c>
      <c r="F15" s="44">
        <v>3895308.800000004</v>
      </c>
      <c r="G15" s="22">
        <f t="shared" si="1"/>
        <v>4.8323819667389634E-2</v>
      </c>
      <c r="H15" s="118">
        <v>3829624.8300000005</v>
      </c>
      <c r="I15" s="118">
        <v>3862761.0300000003</v>
      </c>
    </row>
    <row r="16" spans="1:9" x14ac:dyDescent="0.3">
      <c r="A16" t="s">
        <v>94</v>
      </c>
      <c r="B16" s="19" t="str">
        <f>A16</f>
        <v>Estacionamento Faria Lima</v>
      </c>
      <c r="C16" s="20">
        <v>3938959</v>
      </c>
      <c r="D16" s="43">
        <v>3673985.6503243283</v>
      </c>
      <c r="E16" s="16">
        <f t="shared" si="0"/>
        <v>7.2121498256880967E-2</v>
      </c>
      <c r="F16" s="44">
        <v>3784862.9500000053</v>
      </c>
      <c r="G16" s="24">
        <f t="shared" si="1"/>
        <v>4.0713772740435639E-2</v>
      </c>
      <c r="H16" s="118">
        <v>3548211.3999999994</v>
      </c>
      <c r="I16" s="118">
        <v>3685391.4800000004</v>
      </c>
    </row>
    <row r="17" spans="1:9" x14ac:dyDescent="0.3">
      <c r="A17" t="s">
        <v>95</v>
      </c>
      <c r="B17" s="19" t="str">
        <f>A17</f>
        <v>Administração de Segurança</v>
      </c>
      <c r="C17" s="20">
        <v>1400810.3960058084</v>
      </c>
      <c r="D17" s="43">
        <v>1178081.6266893358</v>
      </c>
      <c r="E17" s="16">
        <f t="shared" si="0"/>
        <v>0.18906055766474239</v>
      </c>
      <c r="F17" s="44">
        <v>1276310.1699999997</v>
      </c>
      <c r="G17" s="22">
        <f t="shared" si="1"/>
        <v>9.754699831766489E-2</v>
      </c>
      <c r="H17" s="118">
        <v>1083497.5899999996</v>
      </c>
      <c r="I17" s="118">
        <v>1083455.1499999999</v>
      </c>
    </row>
    <row r="18" spans="1:9" x14ac:dyDescent="0.3">
      <c r="B18" s="46" t="s">
        <v>51</v>
      </c>
      <c r="C18" s="51">
        <f>SUM(C14:C17)</f>
        <v>22487705.285809688</v>
      </c>
      <c r="D18" s="28">
        <f>SUM(D14:D17)</f>
        <v>20356908.692255944</v>
      </c>
      <c r="E18" s="121">
        <f t="shared" si="0"/>
        <v>0.10467191388269725</v>
      </c>
      <c r="F18" s="28">
        <f>SUM(F14:F17)</f>
        <v>20663024.990000002</v>
      </c>
      <c r="G18" s="120">
        <f t="shared" si="1"/>
        <v>8.8306542565415924E-2</v>
      </c>
      <c r="H18" s="150">
        <f t="shared" ref="H18:I18" si="3">SUM(H14:H17)</f>
        <v>19464264.199999999</v>
      </c>
      <c r="I18" s="142">
        <f t="shared" si="3"/>
        <v>19187698.719999999</v>
      </c>
    </row>
    <row r="19" spans="1:9" x14ac:dyDescent="0.3">
      <c r="B19" s="38"/>
      <c r="C19" s="50"/>
      <c r="D19" s="50"/>
      <c r="E19" s="50"/>
      <c r="F19" s="50"/>
      <c r="G19" s="50"/>
      <c r="H19" s="50"/>
      <c r="I19" s="50"/>
    </row>
    <row r="20" spans="1:9" x14ac:dyDescent="0.3">
      <c r="B20" s="202" t="s">
        <v>56</v>
      </c>
      <c r="C20" s="8"/>
      <c r="D20" s="8"/>
      <c r="E20" s="36"/>
      <c r="F20" s="36"/>
      <c r="G20" s="36"/>
      <c r="H20" s="8"/>
      <c r="I20" s="8"/>
    </row>
    <row r="21" spans="1:9" ht="43.2" x14ac:dyDescent="0.3">
      <c r="B21" s="203"/>
      <c r="C21" s="10" t="str">
        <f>'23-Despesas '!C$4</f>
        <v>Orçamento 2026</v>
      </c>
      <c r="D21" s="10" t="str">
        <f>'23-Despesas '!D$4</f>
        <v>Projeção 2025</v>
      </c>
      <c r="E21" s="11" t="s">
        <v>6</v>
      </c>
      <c r="F21" s="37" t="str">
        <f>'23-Despesas '!F$4</f>
        <v>Orçamento 2025</v>
      </c>
      <c r="G21" s="12" t="s">
        <v>8</v>
      </c>
      <c r="H21" s="10" t="s">
        <v>382</v>
      </c>
      <c r="I21" s="10" t="s">
        <v>197</v>
      </c>
    </row>
    <row r="22" spans="1:9" x14ac:dyDescent="0.3">
      <c r="B22" s="39" t="s">
        <v>57</v>
      </c>
      <c r="C22" s="53">
        <f>SUM(C23:C26)</f>
        <v>15591862.440039115</v>
      </c>
      <c r="D22" s="54">
        <f>SUM(D23:D26)</f>
        <v>14555185.200809682</v>
      </c>
      <c r="E22" s="129">
        <f t="shared" si="0"/>
        <v>7.1223912641919851E-2</v>
      </c>
      <c r="F22" s="55">
        <f>SUM(F23:F26)</f>
        <v>14688966.169999992</v>
      </c>
      <c r="G22" s="130">
        <f>IFERROR(C22/F22-1,0)</f>
        <v>6.1467652630527114E-2</v>
      </c>
      <c r="H22" s="151">
        <f t="shared" ref="H22:I22" si="4">SUM(H23:H26)</f>
        <v>14214830.329999996</v>
      </c>
      <c r="I22" s="151">
        <f t="shared" si="4"/>
        <v>13721082.089999996</v>
      </c>
    </row>
    <row r="23" spans="1:9" x14ac:dyDescent="0.3">
      <c r="A23" t="s">
        <v>58</v>
      </c>
      <c r="B23" s="19" t="str">
        <f>A23</f>
        <v>Salários e provisões</v>
      </c>
      <c r="C23" s="20">
        <v>9137277.3589082751</v>
      </c>
      <c r="D23" s="43">
        <v>8528592.7946084403</v>
      </c>
      <c r="E23" s="16">
        <f t="shared" si="0"/>
        <v>7.1369870617416398E-2</v>
      </c>
      <c r="F23" s="44">
        <v>8595348.3799999896</v>
      </c>
      <c r="G23" s="22">
        <f t="shared" ref="G23:G43" si="5">IFERROR(C23/F23-1,0)</f>
        <v>6.3049099925870156E-2</v>
      </c>
      <c r="H23" s="118">
        <v>8463063.9699999988</v>
      </c>
      <c r="I23" s="118">
        <v>8225384.7399999974</v>
      </c>
    </row>
    <row r="24" spans="1:9" x14ac:dyDescent="0.3">
      <c r="A24" t="s">
        <v>59</v>
      </c>
      <c r="B24" s="19" t="str">
        <f>A24</f>
        <v>Encargos sociais</v>
      </c>
      <c r="C24" s="20">
        <v>3194483.588497438</v>
      </c>
      <c r="D24" s="43">
        <v>3022028.0895864912</v>
      </c>
      <c r="E24" s="16">
        <f t="shared" si="0"/>
        <v>5.7066146904857007E-2</v>
      </c>
      <c r="F24" s="44">
        <v>3034890.2500000009</v>
      </c>
      <c r="G24" s="22">
        <f t="shared" si="5"/>
        <v>5.2586197638427645E-2</v>
      </c>
      <c r="H24" s="118">
        <v>2989444.5200000005</v>
      </c>
      <c r="I24" s="118">
        <v>2912620.6300000004</v>
      </c>
    </row>
    <row r="25" spans="1:9" x14ac:dyDescent="0.3">
      <c r="A25" t="s">
        <v>60</v>
      </c>
      <c r="B25" s="19" t="str">
        <f>A25</f>
        <v>Benefícios</v>
      </c>
      <c r="C25" s="20">
        <v>3138400.6126334011</v>
      </c>
      <c r="D25" s="43">
        <v>2927839.4419216751</v>
      </c>
      <c r="E25" s="16">
        <f t="shared" si="0"/>
        <v>7.1916911732538447E-2</v>
      </c>
      <c r="F25" s="44">
        <v>2992775.5400000005</v>
      </c>
      <c r="G25" s="22">
        <f t="shared" si="5"/>
        <v>4.8658868895126162E-2</v>
      </c>
      <c r="H25" s="118">
        <v>2688388.0499999989</v>
      </c>
      <c r="I25" s="118">
        <v>2481752.7699999996</v>
      </c>
    </row>
    <row r="26" spans="1:9" x14ac:dyDescent="0.3">
      <c r="A26" t="s">
        <v>61</v>
      </c>
      <c r="B26" s="19" t="str">
        <f>A26</f>
        <v>Outros</v>
      </c>
      <c r="C26" s="20">
        <v>121700.87999999995</v>
      </c>
      <c r="D26" s="43">
        <v>76724.874693075617</v>
      </c>
      <c r="E26" s="16">
        <f t="shared" si="0"/>
        <v>0.5861984850003723</v>
      </c>
      <c r="F26" s="44">
        <v>65952</v>
      </c>
      <c r="G26" s="22">
        <f t="shared" si="5"/>
        <v>0.84529475982532665</v>
      </c>
      <c r="H26" s="118">
        <v>73933.790000000008</v>
      </c>
      <c r="I26" s="118">
        <v>101323.95</v>
      </c>
    </row>
    <row r="27" spans="1:9" x14ac:dyDescent="0.3">
      <c r="B27" s="39" t="s">
        <v>62</v>
      </c>
      <c r="C27" s="53">
        <f>SUM(C28:C28)</f>
        <v>6266835.9199999999</v>
      </c>
      <c r="D27" s="54">
        <f>SUM(D28:D28)</f>
        <v>5392202.8086205972</v>
      </c>
      <c r="E27" s="131">
        <f t="shared" si="0"/>
        <v>0.16220330399685889</v>
      </c>
      <c r="F27" s="55">
        <f>SUM(F28:F28)</f>
        <v>5353410.0700000012</v>
      </c>
      <c r="G27" s="132">
        <f t="shared" si="5"/>
        <v>0.17062504797059175</v>
      </c>
      <c r="H27" s="151">
        <f t="shared" ref="H27:I27" si="6">SUM(H28:H28)</f>
        <v>4842651.3600000013</v>
      </c>
      <c r="I27" s="151">
        <f t="shared" si="6"/>
        <v>5032673.3100000005</v>
      </c>
    </row>
    <row r="28" spans="1:9" s="38" customFormat="1" x14ac:dyDescent="0.3">
      <c r="A28" s="38" t="s">
        <v>63</v>
      </c>
      <c r="B28" s="19" t="str">
        <f>A28</f>
        <v>Serviços contratados</v>
      </c>
      <c r="C28" s="20">
        <v>6266835.9199999999</v>
      </c>
      <c r="D28" s="43">
        <v>5392202.8086205972</v>
      </c>
      <c r="E28" s="124">
        <f t="shared" si="0"/>
        <v>0.16220330399685889</v>
      </c>
      <c r="F28" s="44">
        <v>5353410.0700000012</v>
      </c>
      <c r="G28" s="126">
        <f t="shared" si="5"/>
        <v>0.17062504797059175</v>
      </c>
      <c r="H28" s="118">
        <v>4842651.3600000013</v>
      </c>
      <c r="I28" s="118">
        <v>5032673.3100000005</v>
      </c>
    </row>
    <row r="29" spans="1:9" x14ac:dyDescent="0.3">
      <c r="B29" s="39" t="s">
        <v>64</v>
      </c>
      <c r="C29" s="53">
        <f>SUM(C30:C32)</f>
        <v>426721</v>
      </c>
      <c r="D29" s="54">
        <f>SUM(D30:D32)</f>
        <v>185644.96171046168</v>
      </c>
      <c r="E29" s="129">
        <f t="shared" si="0"/>
        <v>1.2985864850214943</v>
      </c>
      <c r="F29" s="55">
        <f>SUM(F30:F32)</f>
        <v>369784.28</v>
      </c>
      <c r="G29" s="130">
        <f t="shared" si="5"/>
        <v>0.15397279732929681</v>
      </c>
      <c r="H29" s="151">
        <f t="shared" ref="H29:I29" si="7">SUM(H30:H32)</f>
        <v>245177.42</v>
      </c>
      <c r="I29" s="151">
        <f t="shared" si="7"/>
        <v>180095.53</v>
      </c>
    </row>
    <row r="30" spans="1:9" x14ac:dyDescent="0.3">
      <c r="A30" t="s">
        <v>67</v>
      </c>
      <c r="B30" s="19" t="str">
        <f>A30</f>
        <v>Mercadoria de uso geral</v>
      </c>
      <c r="C30" s="20">
        <v>265165</v>
      </c>
      <c r="D30" s="43">
        <v>22300.100583860167</v>
      </c>
      <c r="E30" s="16">
        <f t="shared" si="0"/>
        <v>10.890753541798587</v>
      </c>
      <c r="F30" s="44">
        <v>222039</v>
      </c>
      <c r="G30" s="22">
        <f t="shared" si="5"/>
        <v>0.19422714027715848</v>
      </c>
      <c r="H30" s="118">
        <v>118192.87</v>
      </c>
      <c r="I30" s="118">
        <v>70276.84</v>
      </c>
    </row>
    <row r="31" spans="1:9" x14ac:dyDescent="0.3">
      <c r="A31" t="s">
        <v>65</v>
      </c>
      <c r="B31" s="19" t="str">
        <f>A31</f>
        <v>Material de consumo geral</v>
      </c>
      <c r="C31" s="20">
        <v>137976</v>
      </c>
      <c r="D31" s="43">
        <v>135790.71605445043</v>
      </c>
      <c r="E31" s="16">
        <f t="shared" si="0"/>
        <v>1.6093029104237822E-2</v>
      </c>
      <c r="F31" s="44">
        <v>126095.28000000001</v>
      </c>
      <c r="G31" s="22">
        <f t="shared" si="5"/>
        <v>9.4220180168520073E-2</v>
      </c>
      <c r="H31" s="118">
        <v>103540.08</v>
      </c>
      <c r="I31" s="118">
        <v>81627.840000000011</v>
      </c>
    </row>
    <row r="32" spans="1:9" x14ac:dyDescent="0.3">
      <c r="A32" t="s">
        <v>66</v>
      </c>
      <c r="B32" s="56" t="str">
        <f>A32</f>
        <v>Mercadoria de revenda e consumo</v>
      </c>
      <c r="C32" s="20">
        <v>23580</v>
      </c>
      <c r="D32" s="58">
        <v>27554.145072151103</v>
      </c>
      <c r="E32" s="16">
        <f t="shared" si="0"/>
        <v>-0.14423038935683619</v>
      </c>
      <c r="F32" s="59">
        <v>21650</v>
      </c>
      <c r="G32" s="22">
        <f t="shared" si="5"/>
        <v>8.9145496535796731E-2</v>
      </c>
      <c r="H32" s="118">
        <v>23444.469999999998</v>
      </c>
      <c r="I32" s="118">
        <v>28190.85</v>
      </c>
    </row>
    <row r="33" spans="1:9" s="45" customFormat="1" hidden="1" x14ac:dyDescent="0.3">
      <c r="B33" s="61" t="s">
        <v>68</v>
      </c>
      <c r="C33" s="40">
        <f>SUM(C34)</f>
        <v>0</v>
      </c>
      <c r="D33" s="62">
        <f>SUM(D34)</f>
        <v>0</v>
      </c>
      <c r="E33" s="16">
        <f t="shared" si="0"/>
        <v>0</v>
      </c>
      <c r="F33" s="63">
        <f>SUM(F34)</f>
        <v>0</v>
      </c>
      <c r="G33" s="22">
        <f t="shared" si="5"/>
        <v>0</v>
      </c>
      <c r="H33" s="147">
        <f t="shared" ref="H33:I33" si="8">SUM(H34)</f>
        <v>0</v>
      </c>
      <c r="I33" s="147">
        <f t="shared" si="8"/>
        <v>0</v>
      </c>
    </row>
    <row r="34" spans="1:9" hidden="1" x14ac:dyDescent="0.3">
      <c r="B34" s="19" t="s">
        <v>68</v>
      </c>
      <c r="C34" s="20">
        <v>0</v>
      </c>
      <c r="D34" s="43"/>
      <c r="E34" s="16">
        <f t="shared" si="0"/>
        <v>0</v>
      </c>
      <c r="F34" s="44"/>
      <c r="G34" s="22">
        <f t="shared" si="5"/>
        <v>0</v>
      </c>
      <c r="H34" s="118">
        <v>0</v>
      </c>
      <c r="I34" s="118">
        <v>0</v>
      </c>
    </row>
    <row r="35" spans="1:9" hidden="1" x14ac:dyDescent="0.3">
      <c r="B35" s="39" t="s">
        <v>69</v>
      </c>
      <c r="C35" s="53">
        <f>SUM(C36)</f>
        <v>0</v>
      </c>
      <c r="D35" s="65">
        <f>SUM(D36)</f>
        <v>0</v>
      </c>
      <c r="E35" s="16">
        <f t="shared" si="0"/>
        <v>0</v>
      </c>
      <c r="F35" s="55">
        <f>SUM(F36)</f>
        <v>0</v>
      </c>
      <c r="G35" s="22">
        <f t="shared" si="5"/>
        <v>0</v>
      </c>
      <c r="H35" s="151">
        <f t="shared" ref="H35:I35" si="9">SUM(H36)</f>
        <v>0</v>
      </c>
      <c r="I35" s="151">
        <f t="shared" si="9"/>
        <v>0</v>
      </c>
    </row>
    <row r="36" spans="1:9" hidden="1" x14ac:dyDescent="0.3">
      <c r="B36" s="19" t="s">
        <v>70</v>
      </c>
      <c r="C36" s="20">
        <v>0</v>
      </c>
      <c r="D36" s="67">
        <v>0</v>
      </c>
      <c r="E36" s="16">
        <f t="shared" si="0"/>
        <v>0</v>
      </c>
      <c r="F36" s="44">
        <v>0</v>
      </c>
      <c r="G36" s="22">
        <f t="shared" si="5"/>
        <v>0</v>
      </c>
      <c r="H36" s="118">
        <v>0</v>
      </c>
      <c r="I36" s="118">
        <v>0</v>
      </c>
    </row>
    <row r="37" spans="1:9" x14ac:dyDescent="0.3">
      <c r="B37" s="39" t="s">
        <v>71</v>
      </c>
      <c r="C37" s="53">
        <f>SUM(C38:C40)</f>
        <v>201446</v>
      </c>
      <c r="D37" s="54">
        <f>SUM(D38:D40)</f>
        <v>223037.13111521117</v>
      </c>
      <c r="E37" s="131">
        <f t="shared" si="0"/>
        <v>-9.6805097013457075E-2</v>
      </c>
      <c r="F37" s="55">
        <f>SUM(F38:F40)</f>
        <v>250364.55000000002</v>
      </c>
      <c r="G37" s="132">
        <f t="shared" si="5"/>
        <v>-0.19538928334702343</v>
      </c>
      <c r="H37" s="151">
        <f t="shared" ref="H37:I37" si="10">SUM(H38:H40)</f>
        <v>160341.64000000004</v>
      </c>
      <c r="I37" s="151">
        <f t="shared" si="10"/>
        <v>143608.36999999997</v>
      </c>
    </row>
    <row r="38" spans="1:9" x14ac:dyDescent="0.3">
      <c r="A38" s="78" t="s">
        <v>82</v>
      </c>
      <c r="B38" s="19" t="str">
        <f>A38</f>
        <v>Despesas financeiras</v>
      </c>
      <c r="C38" s="20">
        <v>186294</v>
      </c>
      <c r="D38" s="43">
        <v>196790.69735947569</v>
      </c>
      <c r="E38" s="127">
        <f t="shared" si="0"/>
        <v>-5.3339398154077733E-2</v>
      </c>
      <c r="F38" s="44">
        <v>242264.55000000002</v>
      </c>
      <c r="G38" s="128">
        <f t="shared" si="5"/>
        <v>-0.23103070589568309</v>
      </c>
      <c r="H38" s="118">
        <v>158097.84000000005</v>
      </c>
      <c r="I38" s="118">
        <v>140987.46</v>
      </c>
    </row>
    <row r="39" spans="1:9" x14ac:dyDescent="0.3">
      <c r="A39" s="78" t="s">
        <v>73</v>
      </c>
      <c r="B39" s="19" t="str">
        <f>A39</f>
        <v>Outros gastos gerais</v>
      </c>
      <c r="C39" s="20">
        <v>11360</v>
      </c>
      <c r="D39" s="43">
        <v>21846.171848271562</v>
      </c>
      <c r="E39" s="127">
        <f t="shared" si="0"/>
        <v>-0.48000042850075875</v>
      </c>
      <c r="F39" s="44">
        <v>2880</v>
      </c>
      <c r="G39" s="128">
        <f t="shared" si="5"/>
        <v>2.9444444444444446</v>
      </c>
      <c r="H39" s="118">
        <v>567</v>
      </c>
      <c r="I39" s="118">
        <v>580.79999999999995</v>
      </c>
    </row>
    <row r="40" spans="1:9" x14ac:dyDescent="0.3">
      <c r="A40" s="78" t="s">
        <v>72</v>
      </c>
      <c r="B40" s="19" t="str">
        <f>A40</f>
        <v>Locomoções gerais - viagens - estadias</v>
      </c>
      <c r="C40" s="20">
        <v>3792</v>
      </c>
      <c r="D40" s="43">
        <v>4400.2619074639215</v>
      </c>
      <c r="E40" s="124">
        <f t="shared" si="0"/>
        <v>-0.13823311435897945</v>
      </c>
      <c r="F40" s="44">
        <v>5220</v>
      </c>
      <c r="G40" s="126">
        <f t="shared" si="5"/>
        <v>-0.27356321839080455</v>
      </c>
      <c r="H40" s="118">
        <v>1676.8000000000002</v>
      </c>
      <c r="I40" s="118">
        <v>2040.1099999999997</v>
      </c>
    </row>
    <row r="41" spans="1:9" s="45" customFormat="1" x14ac:dyDescent="0.3">
      <c r="B41" s="81" t="s">
        <v>83</v>
      </c>
      <c r="C41" s="53">
        <f>SUM(C42)</f>
        <v>840</v>
      </c>
      <c r="D41" s="65">
        <f>SUM(D42)</f>
        <v>838.58999999999992</v>
      </c>
      <c r="E41" s="129">
        <f t="shared" si="0"/>
        <v>1.6813937681108282E-3</v>
      </c>
      <c r="F41" s="66">
        <f>SUM(F42)</f>
        <v>499.91999999999985</v>
      </c>
      <c r="G41" s="130">
        <f t="shared" si="5"/>
        <v>0.68026884301488288</v>
      </c>
      <c r="H41" s="151">
        <f t="shared" ref="H41:I41" si="11">SUM(H42)</f>
        <v>1263.45</v>
      </c>
      <c r="I41" s="151">
        <f t="shared" si="11"/>
        <v>110239.42</v>
      </c>
    </row>
    <row r="42" spans="1:9" x14ac:dyDescent="0.3">
      <c r="A42" t="s">
        <v>83</v>
      </c>
      <c r="B42" s="82" t="str">
        <f>A42</f>
        <v>Tributários fiscais e taxas</v>
      </c>
      <c r="C42" s="20">
        <v>840</v>
      </c>
      <c r="D42" s="83">
        <v>838.58999999999992</v>
      </c>
      <c r="E42" s="16">
        <f t="shared" si="0"/>
        <v>1.6813937681108282E-3</v>
      </c>
      <c r="F42" s="70">
        <v>499.91999999999985</v>
      </c>
      <c r="G42" s="22">
        <f t="shared" si="5"/>
        <v>0.68026884301488288</v>
      </c>
      <c r="H42" s="118">
        <v>1263.45</v>
      </c>
      <c r="I42" s="118">
        <v>110239.42</v>
      </c>
    </row>
    <row r="43" spans="1:9" x14ac:dyDescent="0.3">
      <c r="B43" s="26" t="s">
        <v>51</v>
      </c>
      <c r="C43" s="51">
        <f>SUM(C41+C37+C33+C29+C27+C22)</f>
        <v>22487705.360039115</v>
      </c>
      <c r="D43" s="49">
        <f>SUM(D41+D37+D33+D29+D27+D22)</f>
        <v>20356908.692255951</v>
      </c>
      <c r="E43" s="121">
        <f t="shared" si="0"/>
        <v>0.10467191752909644</v>
      </c>
      <c r="F43" s="49">
        <f>SUM(F41+F37+F33+F29+F27+F22)</f>
        <v>20663024.989999995</v>
      </c>
      <c r="G43" s="122">
        <f t="shared" si="5"/>
        <v>8.8306546157795651E-2</v>
      </c>
      <c r="H43" s="150">
        <f t="shared" ref="H43:I43" si="12">SUM(H41+H37+H33+H29+H27+H22)</f>
        <v>19464264.199999996</v>
      </c>
      <c r="I43" s="142">
        <f t="shared" si="12"/>
        <v>19187698.719999999</v>
      </c>
    </row>
    <row r="44" spans="1:9" x14ac:dyDescent="0.3">
      <c r="B44" s="74"/>
      <c r="C44" s="84"/>
      <c r="D44" s="76"/>
      <c r="E44" s="76"/>
      <c r="F44" s="76"/>
      <c r="G44" s="76"/>
      <c r="H44" s="76"/>
      <c r="I44" s="76"/>
    </row>
  </sheetData>
  <mergeCells count="3">
    <mergeCell ref="B3:B4"/>
    <mergeCell ref="B12:B13"/>
    <mergeCell ref="B20:B21"/>
  </mergeCells>
  <pageMargins left="0.511811024" right="0.511811024" top="0.78740157499999996" bottom="0.78740157499999996" header="0.31496062000000002" footer="0.31496062000000002"/>
  <ignoredErrors>
    <ignoredError sqref="F41 F27 F29 F33:F37 H27:I27 C33:D36 C29:D29 C27:D27 C41:D41 H29:I29 H33:I37 H41:I41 D3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8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26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96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45" customFormat="1" x14ac:dyDescent="0.3">
      <c r="A5" s="38" t="s">
        <v>97</v>
      </c>
      <c r="B5" s="39" t="s">
        <v>97</v>
      </c>
      <c r="C5" s="40">
        <v>2674827.8305538036</v>
      </c>
      <c r="D5" s="62">
        <v>2082941.9023863885</v>
      </c>
      <c r="E5" s="129">
        <f>IFERROR(C5/D5-1,0)</f>
        <v>0.28415863519251405</v>
      </c>
      <c r="F5" s="42">
        <v>2370777.3800000008</v>
      </c>
      <c r="G5" s="133">
        <f>IFERROR(C5/F5-1,0)</f>
        <v>0.12824926250722135</v>
      </c>
      <c r="H5" s="147">
        <v>2332349.5700000008</v>
      </c>
      <c r="I5" s="147">
        <v>2284645.9700000002</v>
      </c>
    </row>
    <row r="6" spans="1:9" s="38" customFormat="1" x14ac:dyDescent="0.3">
      <c r="A6" s="38" t="s">
        <v>98</v>
      </c>
      <c r="B6" s="19" t="s">
        <v>98</v>
      </c>
      <c r="C6" s="20">
        <v>116859.6200000002</v>
      </c>
      <c r="D6" s="21">
        <v>105555.92320207243</v>
      </c>
      <c r="E6" s="16">
        <f t="shared" ref="E6:E38" si="0">IFERROR(C6/D6-1,0)</f>
        <v>0.10708728089363939</v>
      </c>
      <c r="F6" s="44">
        <v>110846.20000000001</v>
      </c>
      <c r="G6" s="22">
        <f t="shared" ref="G6:G38" si="1">IFERROR(C6/F6-1,0)</f>
        <v>5.4250123143600559E-2</v>
      </c>
      <c r="H6" s="118">
        <v>7939.2000000000007</v>
      </c>
      <c r="I6" s="118">
        <v>14913.220000000003</v>
      </c>
    </row>
    <row r="7" spans="1:9" x14ac:dyDescent="0.3">
      <c r="B7" s="46" t="s">
        <v>51</v>
      </c>
      <c r="C7" s="51">
        <f>SUM(C5:C6)</f>
        <v>2791687.4505538037</v>
      </c>
      <c r="D7" s="28">
        <f>SUM(D5:D6)</f>
        <v>2188497.825588461</v>
      </c>
      <c r="E7" s="121">
        <f t="shared" si="0"/>
        <v>0.27561810567627698</v>
      </c>
      <c r="F7" s="49">
        <f>SUM(F5:F6)</f>
        <v>2481623.580000001</v>
      </c>
      <c r="G7" s="122">
        <f t="shared" si="1"/>
        <v>0.12494395727566499</v>
      </c>
      <c r="H7" s="150">
        <f t="shared" ref="H7:I7" si="2">SUM(H5:H6)</f>
        <v>2340288.7700000009</v>
      </c>
      <c r="I7" s="142">
        <f t="shared" si="2"/>
        <v>2299559.1900000004</v>
      </c>
    </row>
    <row r="8" spans="1:9" x14ac:dyDescent="0.3">
      <c r="B8" s="38"/>
      <c r="C8" s="50"/>
      <c r="D8" s="50"/>
      <c r="E8" s="50"/>
      <c r="F8" s="50"/>
      <c r="G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 t="s">
        <v>99</v>
      </c>
      <c r="B11" s="19" t="s">
        <v>99</v>
      </c>
      <c r="C11" s="20">
        <v>1402382.3900000008</v>
      </c>
      <c r="D11" s="21">
        <v>1065050.1781481572</v>
      </c>
      <c r="E11" s="16">
        <f t="shared" si="0"/>
        <v>0.31672893800963986</v>
      </c>
      <c r="F11" s="44">
        <v>1205700.0899999992</v>
      </c>
      <c r="G11" s="22">
        <f>IFERROR(C11/F11-1,0)</f>
        <v>0.16312705094017343</v>
      </c>
      <c r="H11" s="118">
        <v>1305964.7000000007</v>
      </c>
      <c r="I11" s="118">
        <v>1315001.5900000003</v>
      </c>
    </row>
    <row r="12" spans="1:9" x14ac:dyDescent="0.3">
      <c r="A12" t="s">
        <v>97</v>
      </c>
      <c r="B12" s="19" t="s">
        <v>97</v>
      </c>
      <c r="C12" s="20">
        <v>1272445.4405538056</v>
      </c>
      <c r="D12" s="21">
        <v>1017891.7242382322</v>
      </c>
      <c r="E12" s="16">
        <f t="shared" si="0"/>
        <v>0.25007936527441132</v>
      </c>
      <c r="F12" s="44">
        <v>1165077.2899999993</v>
      </c>
      <c r="G12" s="22">
        <f>IFERROR(C12/F12-1,0)</f>
        <v>9.2155388724301845E-2</v>
      </c>
      <c r="H12" s="118">
        <v>1026384.8699999995</v>
      </c>
      <c r="I12" s="118">
        <v>969644.38000000012</v>
      </c>
    </row>
    <row r="13" spans="1:9" x14ac:dyDescent="0.3">
      <c r="B13" s="46" t="s">
        <v>51</v>
      </c>
      <c r="C13" s="51">
        <f>SUM(C11:C12)</f>
        <v>2674827.8305538064</v>
      </c>
      <c r="D13" s="28">
        <f>SUM(D11:D12)</f>
        <v>2082941.9023863894</v>
      </c>
      <c r="E13" s="121">
        <f t="shared" si="0"/>
        <v>0.28415863519251494</v>
      </c>
      <c r="F13" s="28">
        <f>SUM(F11:F12)</f>
        <v>2370777.3799999985</v>
      </c>
      <c r="G13" s="120">
        <f t="shared" si="1"/>
        <v>0.12824926250722379</v>
      </c>
      <c r="H13" s="150">
        <f t="shared" ref="H13:I13" si="3">SUM(H11:H12)</f>
        <v>2332349.5700000003</v>
      </c>
      <c r="I13" s="142">
        <f t="shared" si="3"/>
        <v>2284645.9700000007</v>
      </c>
    </row>
    <row r="14" spans="1:9" x14ac:dyDescent="0.3">
      <c r="B14" s="38"/>
      <c r="C14" s="50"/>
      <c r="D14" s="50"/>
      <c r="E14" s="50"/>
      <c r="F14" s="50"/>
      <c r="G14" s="50"/>
      <c r="H14" s="50"/>
      <c r="I14" s="50"/>
    </row>
    <row r="15" spans="1:9" x14ac:dyDescent="0.3">
      <c r="B15" s="202" t="s">
        <v>56</v>
      </c>
      <c r="C15" s="8"/>
      <c r="D15" s="8"/>
      <c r="E15" s="36"/>
      <c r="F15" s="36"/>
      <c r="G15" s="36"/>
      <c r="H15" s="8"/>
      <c r="I15" s="8"/>
    </row>
    <row r="16" spans="1:9" ht="43.2" x14ac:dyDescent="0.3">
      <c r="B16" s="203"/>
      <c r="C16" s="10" t="str">
        <f>'23-Despesas '!C$4</f>
        <v>Orçamento 2026</v>
      </c>
      <c r="D16" s="10" t="str">
        <f>'23-Despesas '!D$4</f>
        <v>Projeção 2025</v>
      </c>
      <c r="E16" s="11" t="s">
        <v>6</v>
      </c>
      <c r="F16" s="37" t="str">
        <f>'23-Despesas '!F$4</f>
        <v>Orçamento 2025</v>
      </c>
      <c r="G16" s="12" t="s">
        <v>8</v>
      </c>
      <c r="H16" s="10" t="s">
        <v>382</v>
      </c>
      <c r="I16" s="10" t="s">
        <v>197</v>
      </c>
    </row>
    <row r="17" spans="1:9" x14ac:dyDescent="0.3">
      <c r="B17" s="39" t="s">
        <v>57</v>
      </c>
      <c r="C17" s="53">
        <f>SUM(C18:C20)</f>
        <v>1141493.4205538058</v>
      </c>
      <c r="D17" s="65">
        <f>SUM(D18:D20)</f>
        <v>948158.09633040079</v>
      </c>
      <c r="E17" s="129">
        <f t="shared" si="0"/>
        <v>0.20390621033734679</v>
      </c>
      <c r="F17" s="55">
        <f>SUM(F18:F20)</f>
        <v>972142.86999999976</v>
      </c>
      <c r="G17" s="130">
        <f t="shared" si="1"/>
        <v>0.17420335609086557</v>
      </c>
      <c r="H17" s="151">
        <f t="shared" ref="H17:I17" si="4">SUM(H18:H20)</f>
        <v>989515.66999999993</v>
      </c>
      <c r="I17" s="151">
        <f t="shared" si="4"/>
        <v>908600.76000000013</v>
      </c>
    </row>
    <row r="18" spans="1:9" x14ac:dyDescent="0.3">
      <c r="A18" s="85" t="s">
        <v>58</v>
      </c>
      <c r="B18" s="19" t="str">
        <f>A18</f>
        <v>Salários e provisões</v>
      </c>
      <c r="C18" s="20">
        <v>747585.42181033408</v>
      </c>
      <c r="D18" s="21">
        <v>646588.59609318664</v>
      </c>
      <c r="E18" s="16">
        <f t="shared" si="0"/>
        <v>0.15619951593237147</v>
      </c>
      <c r="F18" s="44">
        <v>644407.85999999975</v>
      </c>
      <c r="G18" s="24">
        <f t="shared" si="1"/>
        <v>0.16011220255807301</v>
      </c>
      <c r="H18" s="118">
        <v>682861.48999999987</v>
      </c>
      <c r="I18" s="118">
        <v>624799.7300000001</v>
      </c>
    </row>
    <row r="19" spans="1:9" x14ac:dyDescent="0.3">
      <c r="A19" s="85" t="s">
        <v>59</v>
      </c>
      <c r="B19" s="19" t="str">
        <f>A19</f>
        <v>Encargos sociais</v>
      </c>
      <c r="C19" s="20">
        <v>265392.82474266854</v>
      </c>
      <c r="D19" s="21">
        <v>215216.14284478116</v>
      </c>
      <c r="E19" s="16">
        <f t="shared" si="0"/>
        <v>0.23314553097476498</v>
      </c>
      <c r="F19" s="44">
        <v>224493.61000000002</v>
      </c>
      <c r="G19" s="24">
        <f t="shared" si="1"/>
        <v>0.18218431581490679</v>
      </c>
      <c r="H19" s="118">
        <v>222987.96000000002</v>
      </c>
      <c r="I19" s="118">
        <v>210473.46000000002</v>
      </c>
    </row>
    <row r="20" spans="1:9" x14ac:dyDescent="0.3">
      <c r="A20" s="85" t="s">
        <v>60</v>
      </c>
      <c r="B20" s="19" t="str">
        <f>A20</f>
        <v>Benefícios</v>
      </c>
      <c r="C20" s="20">
        <v>128515.17400080315</v>
      </c>
      <c r="D20" s="21">
        <v>86353.357392432954</v>
      </c>
      <c r="E20" s="16">
        <f t="shared" si="0"/>
        <v>0.4882475665279089</v>
      </c>
      <c r="F20" s="44">
        <v>103241.40000000002</v>
      </c>
      <c r="G20" s="22">
        <f t="shared" si="1"/>
        <v>0.24480270512413749</v>
      </c>
      <c r="H20" s="118">
        <v>83666.22000000003</v>
      </c>
      <c r="I20" s="118">
        <v>73327.569999999992</v>
      </c>
    </row>
    <row r="21" spans="1:9" x14ac:dyDescent="0.3">
      <c r="B21" s="39" t="s">
        <v>62</v>
      </c>
      <c r="C21" s="53">
        <f>SUM(C22:C23)</f>
        <v>619471.79000000039</v>
      </c>
      <c r="D21" s="65">
        <f>SUM(D22:D23)</f>
        <v>544849.684993278</v>
      </c>
      <c r="E21" s="131">
        <f t="shared" si="0"/>
        <v>0.13695906790813872</v>
      </c>
      <c r="F21" s="55">
        <f>SUM(F22:F23)</f>
        <v>789803.99999999977</v>
      </c>
      <c r="G21" s="132">
        <f t="shared" si="1"/>
        <v>-0.21566389889136983</v>
      </c>
      <c r="H21" s="151">
        <f t="shared" ref="H21:I21" si="5">SUM(H22:H23)</f>
        <v>516821.7099999999</v>
      </c>
      <c r="I21" s="151">
        <f t="shared" si="5"/>
        <v>843991.16999999993</v>
      </c>
    </row>
    <row r="22" spans="1:9" s="38" customFormat="1" x14ac:dyDescent="0.3">
      <c r="A22" s="38" t="s">
        <v>63</v>
      </c>
      <c r="B22" s="19" t="str">
        <f>A22</f>
        <v>Serviços contratados</v>
      </c>
      <c r="C22" s="20">
        <v>619471.79000000039</v>
      </c>
      <c r="D22" s="21">
        <v>542456.11143523687</v>
      </c>
      <c r="E22" s="127">
        <f t="shared" si="0"/>
        <v>0.14197587038146642</v>
      </c>
      <c r="F22" s="44">
        <v>787895.99999999977</v>
      </c>
      <c r="G22" s="128">
        <f t="shared" si="1"/>
        <v>-0.21376451968280008</v>
      </c>
      <c r="H22" s="118">
        <v>514578.1399999999</v>
      </c>
      <c r="I22" s="118">
        <v>841840.29999999993</v>
      </c>
    </row>
    <row r="23" spans="1:9" x14ac:dyDescent="0.3">
      <c r="A23" t="s">
        <v>100</v>
      </c>
      <c r="B23" s="19" t="str">
        <f>A23</f>
        <v>Encargos sobre serviços contratados</v>
      </c>
      <c r="C23" s="20">
        <v>0</v>
      </c>
      <c r="D23" s="21">
        <v>2393.573558041162</v>
      </c>
      <c r="E23" s="124">
        <f t="shared" si="0"/>
        <v>-1</v>
      </c>
      <c r="F23" s="44">
        <v>1908</v>
      </c>
      <c r="G23" s="126">
        <f t="shared" si="1"/>
        <v>-1</v>
      </c>
      <c r="H23" s="118">
        <v>2243.5700000000002</v>
      </c>
      <c r="I23" s="118">
        <v>2150.87</v>
      </c>
    </row>
    <row r="24" spans="1:9" x14ac:dyDescent="0.3">
      <c r="B24" s="39" t="s">
        <v>64</v>
      </c>
      <c r="C24" s="53">
        <f>SUM(C25:C27)</f>
        <v>394527.64000000007</v>
      </c>
      <c r="D24" s="65">
        <f>SUM(D25:D27)</f>
        <v>444118.89375924779</v>
      </c>
      <c r="E24" s="131">
        <f t="shared" si="0"/>
        <v>-0.11166211223188949</v>
      </c>
      <c r="F24" s="55">
        <f>SUM(F25:F27)</f>
        <v>450514.03999999992</v>
      </c>
      <c r="G24" s="132">
        <f t="shared" si="1"/>
        <v>-0.12427226463352814</v>
      </c>
      <c r="H24" s="151">
        <f t="shared" ref="H24:I24" si="6">SUM(H25:H27)</f>
        <v>388886.20999999996</v>
      </c>
      <c r="I24" s="151">
        <f t="shared" si="6"/>
        <v>400796.79000000004</v>
      </c>
    </row>
    <row r="25" spans="1:9" x14ac:dyDescent="0.3">
      <c r="A25" t="s">
        <v>66</v>
      </c>
      <c r="B25" s="19" t="str">
        <f>A25</f>
        <v>Mercadoria de revenda e consumo</v>
      </c>
      <c r="C25" s="20">
        <v>282119.13000000006</v>
      </c>
      <c r="D25" s="21">
        <v>406169.67580654513</v>
      </c>
      <c r="E25" s="127">
        <f t="shared" si="0"/>
        <v>-0.30541557677887599</v>
      </c>
      <c r="F25" s="44">
        <v>396346.29999999993</v>
      </c>
      <c r="G25" s="128">
        <f t="shared" si="1"/>
        <v>-0.28820041968349364</v>
      </c>
      <c r="H25" s="118">
        <v>313047.67999999999</v>
      </c>
      <c r="I25" s="118">
        <v>366429.5</v>
      </c>
    </row>
    <row r="26" spans="1:9" x14ac:dyDescent="0.3">
      <c r="A26" t="s">
        <v>65</v>
      </c>
      <c r="B26" s="19" t="str">
        <f>A26</f>
        <v>Material de consumo geral</v>
      </c>
      <c r="C26" s="20">
        <v>96065.02</v>
      </c>
      <c r="D26" s="21">
        <v>30862.377952702635</v>
      </c>
      <c r="E26" s="127">
        <f t="shared" si="0"/>
        <v>2.1126901545701386</v>
      </c>
      <c r="F26" s="44">
        <v>37492.740000000005</v>
      </c>
      <c r="G26" s="128">
        <f t="shared" si="1"/>
        <v>1.56222991437809</v>
      </c>
      <c r="H26" s="118">
        <v>70952.55</v>
      </c>
      <c r="I26" s="118">
        <v>20696.030000000002</v>
      </c>
    </row>
    <row r="27" spans="1:9" x14ac:dyDescent="0.3">
      <c r="A27" t="s">
        <v>67</v>
      </c>
      <c r="B27" s="56" t="str">
        <f>A27</f>
        <v>Mercadoria de uso geral</v>
      </c>
      <c r="C27" s="20">
        <v>16343.49</v>
      </c>
      <c r="D27" s="67">
        <v>7086.84</v>
      </c>
      <c r="E27" s="124">
        <f t="shared" si="0"/>
        <v>1.3061745432378888</v>
      </c>
      <c r="F27" s="44">
        <v>16675</v>
      </c>
      <c r="G27" s="126">
        <f t="shared" si="1"/>
        <v>-1.9880659670164946E-2</v>
      </c>
      <c r="H27" s="118">
        <v>4885.9799999999996</v>
      </c>
      <c r="I27" s="118">
        <v>13671.26</v>
      </c>
    </row>
    <row r="28" spans="1:9" s="45" customFormat="1" hidden="1" x14ac:dyDescent="0.3">
      <c r="B28" s="61" t="s">
        <v>68</v>
      </c>
      <c r="C28" s="40">
        <f>SUM(C29)</f>
        <v>0</v>
      </c>
      <c r="D28" s="62">
        <f>SUM(D29)</f>
        <v>0</v>
      </c>
      <c r="E28" s="16">
        <f t="shared" si="0"/>
        <v>0</v>
      </c>
      <c r="F28" s="66">
        <f>SUM(F29)</f>
        <v>0</v>
      </c>
      <c r="G28" s="22">
        <f t="shared" si="1"/>
        <v>0</v>
      </c>
      <c r="H28" s="147">
        <f t="shared" ref="H28:I28" si="7">SUM(H29)</f>
        <v>0</v>
      </c>
      <c r="I28" s="147">
        <f t="shared" si="7"/>
        <v>0</v>
      </c>
    </row>
    <row r="29" spans="1:9" hidden="1" x14ac:dyDescent="0.3">
      <c r="B29" s="19" t="s">
        <v>68</v>
      </c>
      <c r="C29" s="20">
        <v>0</v>
      </c>
      <c r="D29" s="21"/>
      <c r="E29" s="16">
        <f t="shared" si="0"/>
        <v>0</v>
      </c>
      <c r="F29" s="44">
        <v>0</v>
      </c>
      <c r="G29" s="22">
        <f t="shared" si="1"/>
        <v>0</v>
      </c>
      <c r="H29" s="118">
        <v>0</v>
      </c>
      <c r="I29" s="118">
        <v>0</v>
      </c>
    </row>
    <row r="30" spans="1:9" hidden="1" x14ac:dyDescent="0.3">
      <c r="B30" s="39" t="s">
        <v>69</v>
      </c>
      <c r="C30" s="53">
        <f>SUM(C31)</f>
        <v>0</v>
      </c>
      <c r="D30" s="65">
        <f>SUM(D31)</f>
        <v>0</v>
      </c>
      <c r="E30" s="16">
        <f t="shared" si="0"/>
        <v>0</v>
      </c>
      <c r="F30" s="55">
        <f>SUM(F31)</f>
        <v>0</v>
      </c>
      <c r="G30" s="22">
        <f t="shared" si="1"/>
        <v>0</v>
      </c>
      <c r="H30" s="151">
        <f t="shared" ref="H30:I30" si="8">SUM(H31)</f>
        <v>0</v>
      </c>
      <c r="I30" s="151">
        <f t="shared" si="8"/>
        <v>0</v>
      </c>
    </row>
    <row r="31" spans="1:9" hidden="1" x14ac:dyDescent="0.3">
      <c r="B31" s="19" t="s">
        <v>70</v>
      </c>
      <c r="C31" s="20"/>
      <c r="D31" s="21"/>
      <c r="E31" s="16">
        <f t="shared" si="0"/>
        <v>0</v>
      </c>
      <c r="F31" s="44"/>
      <c r="G31" s="22">
        <f t="shared" si="1"/>
        <v>0</v>
      </c>
      <c r="H31" s="118"/>
      <c r="I31" s="118"/>
    </row>
    <row r="32" spans="1:9" x14ac:dyDescent="0.3">
      <c r="B32" s="39" t="s">
        <v>71</v>
      </c>
      <c r="C32" s="53">
        <f>SUM(C33:C35)</f>
        <v>519334.97999999986</v>
      </c>
      <c r="D32" s="65">
        <f>SUM(D33:D35)</f>
        <v>145815.22730346269</v>
      </c>
      <c r="E32" s="129">
        <f t="shared" si="0"/>
        <v>2.5615963408210329</v>
      </c>
      <c r="F32" s="55">
        <f>SUM(F33:F35)</f>
        <v>158316.46999999994</v>
      </c>
      <c r="G32" s="130">
        <f t="shared" si="1"/>
        <v>2.2803597755811511</v>
      </c>
      <c r="H32" s="151">
        <f t="shared" ref="H32:I32" si="9">SUM(H33:H35)</f>
        <v>437125.9800000001</v>
      </c>
      <c r="I32" s="151">
        <f t="shared" si="9"/>
        <v>131257.25</v>
      </c>
    </row>
    <row r="33" spans="1:9" x14ac:dyDescent="0.3">
      <c r="A33" s="78" t="s">
        <v>73</v>
      </c>
      <c r="B33" s="19" t="str">
        <f>A33</f>
        <v>Outros gastos gerais</v>
      </c>
      <c r="C33" s="20">
        <v>501577.37999999989</v>
      </c>
      <c r="D33" s="21">
        <v>129895.43405596845</v>
      </c>
      <c r="E33" s="16">
        <f t="shared" si="0"/>
        <v>2.8613934634829712</v>
      </c>
      <c r="F33" s="44">
        <v>142149.06999999995</v>
      </c>
      <c r="G33" s="22">
        <f t="shared" si="1"/>
        <v>2.5285308584853921</v>
      </c>
      <c r="H33" s="118">
        <v>425424.68000000011</v>
      </c>
      <c r="I33" s="118">
        <v>123229.29000000001</v>
      </c>
    </row>
    <row r="34" spans="1:9" x14ac:dyDescent="0.3">
      <c r="A34" s="78" t="s">
        <v>72</v>
      </c>
      <c r="B34" s="19" t="str">
        <f>A34</f>
        <v>Locomoções gerais - viagens - estadias</v>
      </c>
      <c r="C34" s="20">
        <v>17757.600000000002</v>
      </c>
      <c r="D34" s="21">
        <v>15919.793247494226</v>
      </c>
      <c r="E34" s="16">
        <f t="shared" si="0"/>
        <v>0.11544162188130458</v>
      </c>
      <c r="F34" s="44">
        <v>16167.400000000003</v>
      </c>
      <c r="G34" s="22">
        <f t="shared" si="1"/>
        <v>9.8358424978660652E-2</v>
      </c>
      <c r="H34" s="118">
        <v>10080.740000000002</v>
      </c>
      <c r="I34" s="118">
        <v>8027.96</v>
      </c>
    </row>
    <row r="35" spans="1:9" x14ac:dyDescent="0.3">
      <c r="A35" s="78" t="s">
        <v>82</v>
      </c>
      <c r="B35" s="56" t="str">
        <f>A35</f>
        <v>Despesas financeiras</v>
      </c>
      <c r="C35" s="20">
        <v>0</v>
      </c>
      <c r="D35" s="67">
        <v>0</v>
      </c>
      <c r="E35" s="16">
        <f t="shared" si="0"/>
        <v>0</v>
      </c>
      <c r="F35" s="44">
        <v>0</v>
      </c>
      <c r="G35" s="22">
        <f t="shared" si="1"/>
        <v>0</v>
      </c>
      <c r="H35" s="118">
        <v>1620.56</v>
      </c>
      <c r="I35" s="118">
        <v>0</v>
      </c>
    </row>
    <row r="36" spans="1:9" s="45" customFormat="1" hidden="1" x14ac:dyDescent="0.3">
      <c r="B36" s="72" t="s">
        <v>101</v>
      </c>
      <c r="C36" s="53">
        <f>SUM(C37)</f>
        <v>0</v>
      </c>
      <c r="D36" s="65">
        <f>SUM(D37)</f>
        <v>0</v>
      </c>
      <c r="E36" s="16">
        <f t="shared" si="0"/>
        <v>0</v>
      </c>
      <c r="F36" s="86">
        <f>SUM(F37)</f>
        <v>0</v>
      </c>
      <c r="G36" s="22">
        <f t="shared" si="1"/>
        <v>0</v>
      </c>
      <c r="H36" s="151">
        <f t="shared" ref="H36:I36" si="10">SUM(H37)</f>
        <v>0</v>
      </c>
      <c r="I36" s="151">
        <f t="shared" si="10"/>
        <v>0</v>
      </c>
    </row>
    <row r="37" spans="1:9" hidden="1" x14ac:dyDescent="0.3">
      <c r="B37" s="73" t="s">
        <v>101</v>
      </c>
      <c r="C37" s="20">
        <v>0</v>
      </c>
      <c r="D37" s="21">
        <v>0</v>
      </c>
      <c r="E37" s="16">
        <f t="shared" si="0"/>
        <v>0</v>
      </c>
      <c r="F37" s="44">
        <v>0</v>
      </c>
      <c r="G37" s="22">
        <f t="shared" si="1"/>
        <v>0</v>
      </c>
      <c r="H37" s="118">
        <v>0</v>
      </c>
      <c r="I37" s="118">
        <v>0</v>
      </c>
    </row>
    <row r="38" spans="1:9" x14ac:dyDescent="0.3">
      <c r="B38" s="26" t="s">
        <v>51</v>
      </c>
      <c r="C38" s="51">
        <f>SUM(C36+C32+C30+C28+C24+C21+C17)</f>
        <v>2674827.8305538059</v>
      </c>
      <c r="D38" s="28">
        <f>SUM(D36+D32+D30+D28+D24+D21+D17)</f>
        <v>2082941.9023863892</v>
      </c>
      <c r="E38" s="121">
        <f t="shared" si="0"/>
        <v>0.28415863519251472</v>
      </c>
      <c r="F38" s="49">
        <f>SUM(F36+F32+F30+F28+F24+F21+F17)</f>
        <v>2370777.3799999994</v>
      </c>
      <c r="G38" s="122">
        <f t="shared" si="1"/>
        <v>0.12824926250722313</v>
      </c>
      <c r="H38" s="150">
        <f t="shared" ref="H38:I38" si="11">SUM(H36+H32+H30+H28+H24+H21+H17)</f>
        <v>2332349.5699999998</v>
      </c>
      <c r="I38" s="142">
        <f t="shared" si="11"/>
        <v>2284645.9700000002</v>
      </c>
    </row>
  </sheetData>
  <mergeCells count="3">
    <mergeCell ref="B3:B4"/>
    <mergeCell ref="B9:B10"/>
    <mergeCell ref="B15:B16"/>
  </mergeCells>
  <pageMargins left="0.511811024" right="0.511811024" top="0.78740157499999996" bottom="0.78740157499999996" header="0.31496062000000002" footer="0.31496062000000002"/>
  <ignoredErrors>
    <ignoredError sqref="H21:I21 C21:D21 F21 C24:D24 F24 H24:I24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6"/>
  <sheetViews>
    <sheetView showGridLines="0" showRowColHeaders="0" topLeftCell="B1" workbookViewId="0">
      <selection activeCell="I2" sqref="I2"/>
    </sheetView>
  </sheetViews>
  <sheetFormatPr defaultRowHeight="14.4" x14ac:dyDescent="0.3"/>
  <cols>
    <col min="1" max="1" width="13.21875" hidden="1" customWidth="1"/>
    <col min="2" max="2" width="45.6640625" customWidth="1"/>
    <col min="3" max="9" width="16.44140625" style="5" customWidth="1"/>
  </cols>
  <sheetData>
    <row r="1" spans="1:9" s="1" customFormat="1" ht="18" x14ac:dyDescent="0.35">
      <c r="A1" s="1" t="s">
        <v>0</v>
      </c>
      <c r="B1" s="34" t="s">
        <v>102</v>
      </c>
      <c r="C1" s="35"/>
      <c r="D1" s="35"/>
      <c r="E1" s="35"/>
      <c r="F1" s="35"/>
      <c r="G1" s="35"/>
      <c r="H1" s="35"/>
      <c r="I1" s="35"/>
    </row>
    <row r="2" spans="1:9" x14ac:dyDescent="0.3">
      <c r="A2" t="s">
        <v>9</v>
      </c>
    </row>
    <row r="3" spans="1:9" x14ac:dyDescent="0.3">
      <c r="B3" s="202" t="s">
        <v>45</v>
      </c>
      <c r="C3" s="36"/>
      <c r="D3" s="36"/>
      <c r="E3" s="36"/>
      <c r="F3" s="36"/>
      <c r="G3" s="36"/>
      <c r="H3" s="8"/>
      <c r="I3" s="8"/>
    </row>
    <row r="4" spans="1:9" ht="43.2" x14ac:dyDescent="0.3">
      <c r="B4" s="203"/>
      <c r="C4" s="10" t="str">
        <f>'23-Despesas '!C$4</f>
        <v>Orçamento 2026</v>
      </c>
      <c r="D4" s="10" t="str">
        <f>'23-Despesas '!D$4</f>
        <v>Projeção 2025</v>
      </c>
      <c r="E4" s="11" t="s">
        <v>6</v>
      </c>
      <c r="F4" s="37" t="str">
        <f>'23-Despesas '!F$4</f>
        <v>Orçamento 2025</v>
      </c>
      <c r="G4" s="12" t="s">
        <v>8</v>
      </c>
      <c r="H4" s="10" t="s">
        <v>382</v>
      </c>
      <c r="I4" s="10" t="s">
        <v>197</v>
      </c>
    </row>
    <row r="5" spans="1:9" s="38" customFormat="1" x14ac:dyDescent="0.3">
      <c r="A5" s="38" t="str">
        <f>B5</f>
        <v>Conselho Deliberativo</v>
      </c>
      <c r="B5" s="13" t="str">
        <f>'36-COD'!B5</f>
        <v>Conselho Deliberativo</v>
      </c>
      <c r="C5" s="20">
        <f>'36-COD'!C5</f>
        <v>2674827.8305538036</v>
      </c>
      <c r="D5" s="21">
        <f>'36-COD'!D5</f>
        <v>2082941.9023863885</v>
      </c>
      <c r="E5" s="16">
        <f>IFERROR(C5/D5-1,0)</f>
        <v>0.28415863519251405</v>
      </c>
      <c r="F5" s="44">
        <f>'36-COD'!F5</f>
        <v>2370777.3800000008</v>
      </c>
      <c r="G5" s="17">
        <f>IFERROR(C5/F5-1,0)</f>
        <v>0.12824926250722135</v>
      </c>
      <c r="H5" s="118">
        <f>'36-COD'!H5</f>
        <v>2332349.5700000008</v>
      </c>
      <c r="I5" s="118">
        <f>'36-COD'!I5</f>
        <v>2284645.9700000002</v>
      </c>
    </row>
    <row r="6" spans="1:9" s="45" customFormat="1" x14ac:dyDescent="0.3">
      <c r="A6" s="38" t="str">
        <f>B6</f>
        <v>Conselho Fiscal</v>
      </c>
      <c r="B6" s="61" t="str">
        <f>'36-COD'!B6</f>
        <v>Conselho Fiscal</v>
      </c>
      <c r="C6" s="40">
        <f>'36-COD'!C6</f>
        <v>116859.6200000002</v>
      </c>
      <c r="D6" s="62">
        <f>'36-COD'!D6</f>
        <v>105555.92320207243</v>
      </c>
      <c r="E6" s="129">
        <f t="shared" ref="E6:E31" si="0">IFERROR(C6/D6-1,0)</f>
        <v>0.10708728089363939</v>
      </c>
      <c r="F6" s="42">
        <f>'36-COD'!F6</f>
        <v>110846.20000000001</v>
      </c>
      <c r="G6" s="130">
        <f t="shared" ref="G6:G31" si="1">IFERROR(C6/F6-1,0)</f>
        <v>5.4250123143600559E-2</v>
      </c>
      <c r="H6" s="147">
        <f>'36-COD'!H6</f>
        <v>7939.2000000000007</v>
      </c>
      <c r="I6" s="147">
        <f>'36-COD'!I6</f>
        <v>14913.220000000003</v>
      </c>
    </row>
    <row r="7" spans="1:9" x14ac:dyDescent="0.3">
      <c r="B7" s="46" t="s">
        <v>51</v>
      </c>
      <c r="C7" s="51">
        <f>SUM(C5:C6)</f>
        <v>2791687.4505538037</v>
      </c>
      <c r="D7" s="28">
        <f>SUM(D5:D6)</f>
        <v>2188497.825588461</v>
      </c>
      <c r="E7" s="121">
        <f t="shared" si="0"/>
        <v>0.27561810567627698</v>
      </c>
      <c r="F7" s="49">
        <f>SUM(F5:F6)</f>
        <v>2481623.580000001</v>
      </c>
      <c r="G7" s="122">
        <f t="shared" si="1"/>
        <v>0.12494395727566499</v>
      </c>
      <c r="H7" s="150">
        <f t="shared" ref="H7:I7" si="2">SUM(H5:H6)</f>
        <v>2340288.7700000009</v>
      </c>
      <c r="I7" s="142">
        <f t="shared" si="2"/>
        <v>2299559.1900000004</v>
      </c>
    </row>
    <row r="8" spans="1:9" x14ac:dyDescent="0.3">
      <c r="B8" s="38"/>
      <c r="C8" s="50"/>
      <c r="D8" s="50"/>
      <c r="E8" s="50"/>
      <c r="F8" s="50"/>
      <c r="G8" s="50"/>
      <c r="H8" s="50"/>
      <c r="I8" s="50"/>
    </row>
    <row r="9" spans="1:9" x14ac:dyDescent="0.3">
      <c r="B9" s="202" t="s">
        <v>52</v>
      </c>
      <c r="C9" s="8"/>
      <c r="D9" s="8"/>
      <c r="E9" s="36"/>
      <c r="F9" s="36"/>
      <c r="G9" s="36"/>
      <c r="H9" s="8"/>
      <c r="I9" s="8"/>
    </row>
    <row r="10" spans="1:9" ht="43.2" x14ac:dyDescent="0.3">
      <c r="B10" s="203"/>
      <c r="C10" s="10" t="str">
        <f>'23-Despesas '!C$4</f>
        <v>Orçamento 2026</v>
      </c>
      <c r="D10" s="10" t="str">
        <f>'23-Despesas '!D$4</f>
        <v>Projeção 2025</v>
      </c>
      <c r="E10" s="11" t="s">
        <v>6</v>
      </c>
      <c r="F10" s="37" t="str">
        <f>'23-Despesas '!F$4</f>
        <v>Orçamento 2025</v>
      </c>
      <c r="G10" s="12" t="s">
        <v>8</v>
      </c>
      <c r="H10" s="10" t="s">
        <v>382</v>
      </c>
      <c r="I10" s="10" t="s">
        <v>197</v>
      </c>
    </row>
    <row r="11" spans="1:9" x14ac:dyDescent="0.3">
      <c r="A11" s="38" t="str">
        <f>B11</f>
        <v>Conselho Fiscal</v>
      </c>
      <c r="B11" s="19" t="s">
        <v>98</v>
      </c>
      <c r="C11" s="20">
        <v>116859.6200000002</v>
      </c>
      <c r="D11" s="21">
        <v>105555.92320207243</v>
      </c>
      <c r="E11" s="16">
        <f t="shared" si="0"/>
        <v>0.10708728089363939</v>
      </c>
      <c r="F11" s="44">
        <v>110846.20000000001</v>
      </c>
      <c r="G11" s="22">
        <f>IFERROR(C11/F11-1,0)</f>
        <v>5.4250123143600559E-2</v>
      </c>
      <c r="H11" s="118">
        <v>7939.2000000000007</v>
      </c>
      <c r="I11" s="118">
        <v>14913.220000000003</v>
      </c>
    </row>
    <row r="12" spans="1:9" x14ac:dyDescent="0.3">
      <c r="B12" s="46" t="s">
        <v>51</v>
      </c>
      <c r="C12" s="51">
        <f>SUM(C11)</f>
        <v>116859.6200000002</v>
      </c>
      <c r="D12" s="28">
        <f>SUM(D11)</f>
        <v>105555.92320207243</v>
      </c>
      <c r="E12" s="121">
        <f t="shared" si="0"/>
        <v>0.10708728089363939</v>
      </c>
      <c r="F12" s="28">
        <f>SUM(F11)</f>
        <v>110846.20000000001</v>
      </c>
      <c r="G12" s="122">
        <f>IFERROR(C12/F12-1,0)</f>
        <v>5.4250123143600559E-2</v>
      </c>
      <c r="H12" s="150">
        <f t="shared" ref="H12:I12" si="3">SUM(H11)</f>
        <v>7939.2000000000007</v>
      </c>
      <c r="I12" s="142">
        <f t="shared" si="3"/>
        <v>14913.220000000003</v>
      </c>
    </row>
    <row r="13" spans="1:9" x14ac:dyDescent="0.3">
      <c r="B13" s="38"/>
      <c r="C13" s="50"/>
      <c r="D13" s="50"/>
      <c r="E13" s="50"/>
      <c r="F13" s="50"/>
      <c r="G13" s="50"/>
      <c r="H13" s="50"/>
      <c r="I13" s="50"/>
    </row>
    <row r="14" spans="1:9" x14ac:dyDescent="0.3">
      <c r="B14" s="202" t="s">
        <v>56</v>
      </c>
      <c r="C14" s="8"/>
      <c r="D14" s="8"/>
      <c r="E14" s="36"/>
      <c r="F14" s="36"/>
      <c r="G14" s="36"/>
      <c r="H14" s="8"/>
      <c r="I14" s="8"/>
    </row>
    <row r="15" spans="1:9" ht="43.2" x14ac:dyDescent="0.3">
      <c r="B15" s="203"/>
      <c r="C15" s="10" t="str">
        <f>'23-Despesas '!C$4</f>
        <v>Orçamento 2026</v>
      </c>
      <c r="D15" s="10" t="str">
        <f>'23-Despesas '!D$4</f>
        <v>Projeção 2025</v>
      </c>
      <c r="E15" s="11" t="s">
        <v>6</v>
      </c>
      <c r="F15" s="37" t="str">
        <f>'23-Despesas '!F$4</f>
        <v>Orçamento 2025</v>
      </c>
      <c r="G15" s="12" t="s">
        <v>8</v>
      </c>
      <c r="H15" s="10" t="s">
        <v>382</v>
      </c>
      <c r="I15" s="10" t="s">
        <v>197</v>
      </c>
    </row>
    <row r="16" spans="1:9" x14ac:dyDescent="0.3">
      <c r="B16" s="39" t="s">
        <v>57</v>
      </c>
      <c r="C16" s="53">
        <f>SUM(C17:C19)</f>
        <v>0</v>
      </c>
      <c r="D16" s="65">
        <f>SUM(D17:D19)</f>
        <v>0</v>
      </c>
      <c r="E16" s="16">
        <f t="shared" si="0"/>
        <v>0</v>
      </c>
      <c r="F16" s="55">
        <f>SUM(F17:F19)</f>
        <v>0</v>
      </c>
      <c r="G16" s="24">
        <f t="shared" si="1"/>
        <v>0</v>
      </c>
      <c r="H16" s="151">
        <f t="shared" ref="H16:I16" si="4">SUM(H17:H19)</f>
        <v>5225.3599999999997</v>
      </c>
      <c r="I16" s="151">
        <f t="shared" si="4"/>
        <v>175.86</v>
      </c>
    </row>
    <row r="17" spans="1:9" x14ac:dyDescent="0.3">
      <c r="A17" s="78" t="s">
        <v>60</v>
      </c>
      <c r="B17" s="19" t="s">
        <v>103</v>
      </c>
      <c r="C17" s="20">
        <v>0</v>
      </c>
      <c r="D17" s="21">
        <v>0</v>
      </c>
      <c r="E17" s="16">
        <f t="shared" si="0"/>
        <v>0</v>
      </c>
      <c r="F17" s="44">
        <v>0</v>
      </c>
      <c r="G17" s="22">
        <f t="shared" si="1"/>
        <v>0</v>
      </c>
      <c r="H17" s="118">
        <v>5225.3599999999997</v>
      </c>
      <c r="I17" s="118">
        <v>175.86</v>
      </c>
    </row>
    <row r="18" spans="1:9" x14ac:dyDescent="0.3">
      <c r="A18" s="78" t="s">
        <v>58</v>
      </c>
      <c r="B18" s="19" t="s">
        <v>104</v>
      </c>
      <c r="C18" s="20">
        <v>0</v>
      </c>
      <c r="D18" s="21">
        <v>0</v>
      </c>
      <c r="E18" s="16">
        <f t="shared" si="0"/>
        <v>0</v>
      </c>
      <c r="F18" s="44">
        <v>0</v>
      </c>
      <c r="G18" s="24">
        <f t="shared" si="1"/>
        <v>0</v>
      </c>
      <c r="H18" s="118">
        <v>0</v>
      </c>
      <c r="I18" s="118">
        <v>0</v>
      </c>
    </row>
    <row r="19" spans="1:9" x14ac:dyDescent="0.3">
      <c r="A19" s="78" t="s">
        <v>59</v>
      </c>
      <c r="B19" s="19" t="s">
        <v>105</v>
      </c>
      <c r="C19" s="20">
        <v>0</v>
      </c>
      <c r="D19" s="21">
        <v>0</v>
      </c>
      <c r="E19" s="16">
        <f t="shared" si="0"/>
        <v>0</v>
      </c>
      <c r="F19" s="44">
        <v>0</v>
      </c>
      <c r="G19" s="24">
        <f t="shared" si="1"/>
        <v>0</v>
      </c>
      <c r="H19" s="118">
        <v>0</v>
      </c>
      <c r="I19" s="118">
        <v>0</v>
      </c>
    </row>
    <row r="20" spans="1:9" x14ac:dyDescent="0.3">
      <c r="B20" s="39" t="s">
        <v>62</v>
      </c>
      <c r="C20" s="53">
        <f>SUM(C21)</f>
        <v>103453.68000000005</v>
      </c>
      <c r="D20" s="65">
        <f>SUM(D21)</f>
        <v>98895.87179080068</v>
      </c>
      <c r="E20" s="131">
        <f t="shared" si="0"/>
        <v>4.6086941008424809E-2</v>
      </c>
      <c r="F20" s="66">
        <f>SUM(F21)</f>
        <v>97875.25</v>
      </c>
      <c r="G20" s="137">
        <f t="shared" si="1"/>
        <v>5.6995307802534922E-2</v>
      </c>
      <c r="H20" s="151">
        <f t="shared" ref="H20:I20" si="5">SUM(H21)</f>
        <v>0</v>
      </c>
      <c r="I20" s="151">
        <f t="shared" si="5"/>
        <v>0</v>
      </c>
    </row>
    <row r="21" spans="1:9" s="38" customFormat="1" x14ac:dyDescent="0.3">
      <c r="A21" s="38" t="s">
        <v>63</v>
      </c>
      <c r="B21" s="19" t="str">
        <f>A21</f>
        <v>Serviços contratados</v>
      </c>
      <c r="C21" s="20">
        <v>103453.68000000005</v>
      </c>
      <c r="D21" s="21">
        <v>98895.87179080068</v>
      </c>
      <c r="E21" s="124">
        <f t="shared" si="0"/>
        <v>4.6086941008424809E-2</v>
      </c>
      <c r="F21" s="44">
        <v>97875.25</v>
      </c>
      <c r="G21" s="135">
        <f t="shared" si="1"/>
        <v>5.6995307802534922E-2</v>
      </c>
      <c r="H21" s="118">
        <v>0</v>
      </c>
      <c r="I21" s="118">
        <v>0</v>
      </c>
    </row>
    <row r="22" spans="1:9" x14ac:dyDescent="0.3">
      <c r="B22" s="39" t="s">
        <v>64</v>
      </c>
      <c r="C22" s="53">
        <f>SUM(C23:C25)</f>
        <v>4693.08</v>
      </c>
      <c r="D22" s="65">
        <f>SUM(D23:D25)</f>
        <v>2741.3762972169989</v>
      </c>
      <c r="E22" s="131">
        <f t="shared" si="0"/>
        <v>0.71194301372064062</v>
      </c>
      <c r="F22" s="66">
        <f>SUM(F23:F25)</f>
        <v>4440</v>
      </c>
      <c r="G22" s="137">
        <f t="shared" si="1"/>
        <v>5.699999999999994E-2</v>
      </c>
      <c r="H22" s="151">
        <f t="shared" ref="H22:I22" si="6">SUM(H23:H25)</f>
        <v>501.94000000000005</v>
      </c>
      <c r="I22" s="151">
        <f t="shared" si="6"/>
        <v>4179.54</v>
      </c>
    </row>
    <row r="23" spans="1:9" x14ac:dyDescent="0.3">
      <c r="A23" s="78" t="s">
        <v>67</v>
      </c>
      <c r="B23" s="19" t="str">
        <f>A23</f>
        <v>Mercadoria de uso geral</v>
      </c>
      <c r="C23" s="20">
        <v>2536.8000000000002</v>
      </c>
      <c r="D23" s="21">
        <v>1238.5520605669437</v>
      </c>
      <c r="E23" s="127">
        <f t="shared" si="0"/>
        <v>1.0481981184051214</v>
      </c>
      <c r="F23" s="44">
        <v>2400</v>
      </c>
      <c r="G23" s="136">
        <f t="shared" si="1"/>
        <v>5.7000000000000162E-2</v>
      </c>
      <c r="H23" s="118">
        <v>0</v>
      </c>
      <c r="I23" s="118">
        <v>1998.5</v>
      </c>
    </row>
    <row r="24" spans="1:9" x14ac:dyDescent="0.3">
      <c r="A24" s="78" t="s">
        <v>65</v>
      </c>
      <c r="B24" s="19" t="str">
        <f>A24</f>
        <v>Material de consumo geral</v>
      </c>
      <c r="C24" s="20">
        <v>2156.2800000000002</v>
      </c>
      <c r="D24" s="21">
        <v>1502.8242366500554</v>
      </c>
      <c r="E24" s="127">
        <f t="shared" si="0"/>
        <v>0.43481848869203943</v>
      </c>
      <c r="F24" s="44">
        <v>2040</v>
      </c>
      <c r="G24" s="136">
        <f t="shared" si="1"/>
        <v>5.7000000000000162E-2</v>
      </c>
      <c r="H24" s="118">
        <v>501.94000000000005</v>
      </c>
      <c r="I24" s="118">
        <v>81.039999999999992</v>
      </c>
    </row>
    <row r="25" spans="1:9" x14ac:dyDescent="0.3">
      <c r="A25" s="78" t="s">
        <v>66</v>
      </c>
      <c r="B25" s="56" t="str">
        <f>A25</f>
        <v>Mercadoria de revenda e consumo</v>
      </c>
      <c r="C25" s="20">
        <v>0</v>
      </c>
      <c r="D25" s="67">
        <v>0</v>
      </c>
      <c r="E25" s="124">
        <f t="shared" si="0"/>
        <v>0</v>
      </c>
      <c r="F25" s="59">
        <v>0</v>
      </c>
      <c r="G25" s="135">
        <f t="shared" si="1"/>
        <v>0</v>
      </c>
      <c r="H25" s="118">
        <v>0</v>
      </c>
      <c r="I25" s="118">
        <v>2100</v>
      </c>
    </row>
    <row r="26" spans="1:9" hidden="1" x14ac:dyDescent="0.3">
      <c r="B26" s="61" t="s">
        <v>69</v>
      </c>
      <c r="C26" s="20">
        <f>SUM(C27)</f>
        <v>0</v>
      </c>
      <c r="D26" s="21">
        <f>SUM(D27)</f>
        <v>0</v>
      </c>
      <c r="E26" s="16">
        <f t="shared" si="0"/>
        <v>0</v>
      </c>
      <c r="F26" s="44">
        <f>SUM(F27)</f>
        <v>0</v>
      </c>
      <c r="G26" s="24">
        <f t="shared" si="1"/>
        <v>0</v>
      </c>
      <c r="H26" s="118">
        <f t="shared" ref="H26:I26" si="7">SUM(H27)</f>
        <v>0</v>
      </c>
      <c r="I26" s="118">
        <f t="shared" si="7"/>
        <v>0</v>
      </c>
    </row>
    <row r="27" spans="1:9" hidden="1" x14ac:dyDescent="0.3">
      <c r="B27" s="19" t="s">
        <v>70</v>
      </c>
      <c r="C27" s="20">
        <v>0</v>
      </c>
      <c r="D27" s="21">
        <v>0</v>
      </c>
      <c r="E27" s="16">
        <f t="shared" si="0"/>
        <v>0</v>
      </c>
      <c r="F27" s="44">
        <v>0</v>
      </c>
      <c r="G27" s="24">
        <f t="shared" si="1"/>
        <v>0</v>
      </c>
      <c r="H27" s="118">
        <v>0</v>
      </c>
      <c r="I27" s="118">
        <v>0</v>
      </c>
    </row>
    <row r="28" spans="1:9" x14ac:dyDescent="0.3">
      <c r="B28" s="39" t="s">
        <v>71</v>
      </c>
      <c r="C28" s="53">
        <f>SUM(C29:C30)</f>
        <v>8712.8599999999988</v>
      </c>
      <c r="D28" s="65">
        <f>SUM(D29:D30)</f>
        <v>3918.6751140547431</v>
      </c>
      <c r="E28" s="129">
        <f t="shared" si="0"/>
        <v>1.223419841249509</v>
      </c>
      <c r="F28" s="66">
        <f>SUM(F29:F30)</f>
        <v>8530.9500000000007</v>
      </c>
      <c r="G28" s="138">
        <f t="shared" si="1"/>
        <v>2.1323533721332E-2</v>
      </c>
      <c r="H28" s="151">
        <f t="shared" ref="H28:I28" si="8">SUM(H29:H30)</f>
        <v>2211.9</v>
      </c>
      <c r="I28" s="151">
        <f t="shared" si="8"/>
        <v>10557.820000000002</v>
      </c>
    </row>
    <row r="29" spans="1:9" s="38" customFormat="1" x14ac:dyDescent="0.3">
      <c r="A29" s="38" t="s">
        <v>73</v>
      </c>
      <c r="B29" s="19" t="str">
        <f>A29</f>
        <v>Outros gastos gerais</v>
      </c>
      <c r="C29" s="20">
        <v>5605.3399999999983</v>
      </c>
      <c r="D29" s="21">
        <v>2253.8338522775211</v>
      </c>
      <c r="E29" s="16">
        <f t="shared" si="0"/>
        <v>1.4870244957656249</v>
      </c>
      <c r="F29" s="64">
        <v>5590.9500000000007</v>
      </c>
      <c r="G29" s="24">
        <f t="shared" si="1"/>
        <v>2.5738023055110748E-3</v>
      </c>
      <c r="H29" s="118">
        <v>2211.9</v>
      </c>
      <c r="I29" s="118">
        <v>10414.980000000001</v>
      </c>
    </row>
    <row r="30" spans="1:9" s="38" customFormat="1" x14ac:dyDescent="0.3">
      <c r="A30" s="38" t="s">
        <v>72</v>
      </c>
      <c r="B30" s="19" t="str">
        <f>A30</f>
        <v>Locomoções gerais - viagens - estadias</v>
      </c>
      <c r="C30" s="20">
        <v>3107.52</v>
      </c>
      <c r="D30" s="21">
        <v>1664.8412617772217</v>
      </c>
      <c r="E30" s="16">
        <f t="shared" si="0"/>
        <v>0.86655633263360832</v>
      </c>
      <c r="F30" s="64">
        <v>2940</v>
      </c>
      <c r="G30" s="24">
        <f t="shared" si="1"/>
        <v>5.6979591836734622E-2</v>
      </c>
      <c r="H30" s="118">
        <v>0</v>
      </c>
      <c r="I30" s="118">
        <v>142.84</v>
      </c>
    </row>
    <row r="31" spans="1:9" x14ac:dyDescent="0.3">
      <c r="B31" s="26" t="s">
        <v>51</v>
      </c>
      <c r="C31" s="51">
        <f t="shared" ref="C31:I31" si="9">SUM(C28+C22+C20+C16+C26)</f>
        <v>116859.62000000005</v>
      </c>
      <c r="D31" s="28">
        <f t="shared" si="9"/>
        <v>105555.92320207242</v>
      </c>
      <c r="E31" s="121">
        <f t="shared" si="0"/>
        <v>0.10708728089363828</v>
      </c>
      <c r="F31" s="28">
        <f t="shared" si="9"/>
        <v>110846.2</v>
      </c>
      <c r="G31" s="120">
        <f t="shared" si="1"/>
        <v>5.4250123143599449E-2</v>
      </c>
      <c r="H31" s="150">
        <f t="shared" si="9"/>
        <v>7939.2</v>
      </c>
      <c r="I31" s="142">
        <f t="shared" si="9"/>
        <v>14913.220000000001</v>
      </c>
    </row>
    <row r="33" spans="2:2" x14ac:dyDescent="0.3">
      <c r="B33" s="5"/>
    </row>
    <row r="34" spans="2:2" x14ac:dyDescent="0.3">
      <c r="B34" s="5"/>
    </row>
    <row r="35" spans="2:2" x14ac:dyDescent="0.3">
      <c r="B35" s="5"/>
    </row>
    <row r="36" spans="2:2" x14ac:dyDescent="0.3">
      <c r="B36" s="5"/>
    </row>
  </sheetData>
  <mergeCells count="3">
    <mergeCell ref="B3:B4"/>
    <mergeCell ref="B9:B10"/>
    <mergeCell ref="B14:B1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H20:I20 C20:D20 F20 C22:D22 F22 H22:I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34</vt:i4>
      </vt:variant>
    </vt:vector>
  </HeadingPairs>
  <TitlesOfParts>
    <vt:vector size="34" baseType="lpstr">
      <vt:lpstr>10-Quadro_Colab Apresentação</vt:lpstr>
      <vt:lpstr>23-Despesas </vt:lpstr>
      <vt:lpstr>30-ADM_CENTRAL</vt:lpstr>
      <vt:lpstr>31-ADM_ÉTICA </vt:lpstr>
      <vt:lpstr>32-ADM_MED</vt:lpstr>
      <vt:lpstr>33-ADM_RHU</vt:lpstr>
      <vt:lpstr>34-ADM_SEG</vt:lpstr>
      <vt:lpstr>36-COD</vt:lpstr>
      <vt:lpstr>37-COF</vt:lpstr>
      <vt:lpstr>39-CUL</vt:lpstr>
      <vt:lpstr>41-EOF_IND </vt:lpstr>
      <vt:lpstr>42-EOF_AQU</vt:lpstr>
      <vt:lpstr>44 e 45-EAS</vt:lpstr>
      <vt:lpstr>47-EOF_ADM_OLIM</vt:lpstr>
      <vt:lpstr>48-EOF_COL</vt:lpstr>
      <vt:lpstr>50-ESR_RAQ</vt:lpstr>
      <vt:lpstr>55-FIN_FIN</vt:lpstr>
      <vt:lpstr>56-FIN_SUP</vt:lpstr>
      <vt:lpstr>58-JUR</vt:lpstr>
      <vt:lpstr>61-MKT</vt:lpstr>
      <vt:lpstr>62-COMUNI</vt:lpstr>
      <vt:lpstr>64-SERV GERAIS</vt:lpstr>
      <vt:lpstr>66-PAT</vt:lpstr>
      <vt:lpstr>68-PLA</vt:lpstr>
      <vt:lpstr>69-TEC</vt:lpstr>
      <vt:lpstr>71-PRE_CME</vt:lpstr>
      <vt:lpstr>72-PRE_DAS</vt:lpstr>
      <vt:lpstr>73-PRE_GOV</vt:lpstr>
      <vt:lpstr>74-PRE_PRE</vt:lpstr>
      <vt:lpstr>76 e 77-ESR_ADM</vt:lpstr>
      <vt:lpstr>79-REL INST</vt:lpstr>
      <vt:lpstr>81 e 82-SOC</vt:lpstr>
      <vt:lpstr>83-SOC_VET</vt:lpstr>
      <vt:lpstr>84-CTG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Branco de Borba Consentino</dc:creator>
  <cp:lastModifiedBy>Isabella Carolina Ferreira Gonçalves</cp:lastModifiedBy>
  <dcterms:created xsi:type="dcterms:W3CDTF">2025-09-10T17:17:17Z</dcterms:created>
  <dcterms:modified xsi:type="dcterms:W3CDTF">2025-11-19T15:55:02Z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